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jraym2\Documents\ORS\"/>
    </mc:Choice>
  </mc:AlternateContent>
  <xr:revisionPtr revIDLastSave="0" documentId="13_ncr:1_{E2162395-93A4-49E0-AA31-B869707AA948}" xr6:coauthVersionLast="47" xr6:coauthVersionMax="47" xr10:uidLastSave="{00000000-0000-0000-0000-000000000000}"/>
  <bookViews>
    <workbookView xWindow="57480" yWindow="45" windowWidth="29040" windowHeight="15720" tabRatio="760" xr2:uid="{00000000-000D-0000-FFFF-FFFF00000000}"/>
  </bookViews>
  <sheets>
    <sheet name="PrimeGrantee" sheetId="4" r:id="rId1"/>
    <sheet name="CostsByAccountCode" sheetId="15" r:id="rId2"/>
    <sheet name="SubGrantee1" sheetId="5" r:id="rId3"/>
    <sheet name="SubGrantee2" sheetId="6" r:id="rId4"/>
    <sheet name="Supplies" sheetId="7" r:id="rId5"/>
    <sheet name="Consultants" sheetId="8" r:id="rId6"/>
    <sheet name="Travel" sheetId="10" r:id="rId7"/>
    <sheet name="Other Expenses" sheetId="11" r:id="rId8"/>
    <sheet name="FB_Details" sheetId="12" r:id="rId9"/>
    <sheet name="Cost-Sharing" sheetId="14" r:id="rId10"/>
    <sheet name="Sheet1" sheetId="16" r:id="rId11"/>
  </sheets>
  <definedNames>
    <definedName name="FORM">#REF!</definedName>
    <definedName name="_xlnm.Print_Area" localSheetId="9">'Cost-Sharing'!$A$1:$M$63</definedName>
    <definedName name="_xlnm.Print_Area" localSheetId="8">FB_Details!$A$1:$M$32</definedName>
    <definedName name="_xlnm.Print_Area" localSheetId="0">PrimeGrantee!$A$1:$M$61</definedName>
    <definedName name="_xlnm.Print_Area" localSheetId="2">SubGrantee1!$A$1:$M$52</definedName>
    <definedName name="_xlnm.Print_Area" localSheetId="3">SubGrantee2!$A$1:$M$52</definedName>
    <definedName name="SUBCONT_MTD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 i="4" l="1"/>
  <c r="I14" i="4"/>
  <c r="K14" i="4" s="1"/>
  <c r="L14" i="4" s="1"/>
  <c r="J19" i="4"/>
  <c r="H14" i="4" l="1"/>
  <c r="C9" i="15"/>
  <c r="D9" i="15"/>
  <c r="E9" i="15"/>
  <c r="F9" i="15"/>
  <c r="G9" i="15"/>
  <c r="H9" i="15" l="1"/>
  <c r="D3" i="11"/>
  <c r="D4" i="11"/>
  <c r="D5" i="11"/>
  <c r="D6" i="11"/>
  <c r="D2" i="11"/>
  <c r="F2" i="8"/>
  <c r="D3" i="7"/>
  <c r="D4" i="7"/>
  <c r="D5" i="7"/>
  <c r="D6" i="7"/>
  <c r="D2" i="7"/>
  <c r="I59" i="14"/>
  <c r="J59" i="14" s="1"/>
  <c r="K59" i="14" s="1"/>
  <c r="L59" i="14" s="1"/>
  <c r="H59" i="14"/>
  <c r="A59" i="14"/>
  <c r="I58" i="14"/>
  <c r="H58" i="14"/>
  <c r="A58" i="14"/>
  <c r="L50" i="14"/>
  <c r="K50" i="14"/>
  <c r="J50" i="14"/>
  <c r="I50" i="14"/>
  <c r="H50" i="14"/>
  <c r="M46" i="14"/>
  <c r="M44" i="14"/>
  <c r="M42" i="14"/>
  <c r="M40" i="14"/>
  <c r="M38" i="14"/>
  <c r="G24" i="14"/>
  <c r="D24" i="14"/>
  <c r="G23" i="14"/>
  <c r="D23" i="14"/>
  <c r="G22" i="14"/>
  <c r="D22" i="14"/>
  <c r="G21" i="14"/>
  <c r="D21" i="14"/>
  <c r="G20" i="14"/>
  <c r="D20" i="14"/>
  <c r="G19" i="14"/>
  <c r="D19" i="14"/>
  <c r="G18" i="14"/>
  <c r="D18" i="14"/>
  <c r="G17" i="14"/>
  <c r="D17" i="14"/>
  <c r="G16" i="14"/>
  <c r="D16" i="14"/>
  <c r="G15" i="14"/>
  <c r="D15" i="14"/>
  <c r="G14" i="14"/>
  <c r="D14" i="14"/>
  <c r="H14" i="14" l="1"/>
  <c r="H16" i="14"/>
  <c r="I16" i="14" s="1"/>
  <c r="J16" i="14" s="1"/>
  <c r="K16" i="14" s="1"/>
  <c r="L16" i="14" s="1"/>
  <c r="H17" i="14"/>
  <c r="I17" i="14" s="1"/>
  <c r="J17" i="14" s="1"/>
  <c r="K17" i="14" s="1"/>
  <c r="L17" i="14" s="1"/>
  <c r="H18" i="14"/>
  <c r="I18" i="14" s="1"/>
  <c r="J18" i="14" s="1"/>
  <c r="K18" i="14" s="1"/>
  <c r="L18" i="14" s="1"/>
  <c r="H20" i="14"/>
  <c r="I20" i="14" s="1"/>
  <c r="J20" i="14" s="1"/>
  <c r="K20" i="14" s="1"/>
  <c r="L20" i="14" s="1"/>
  <c r="H21" i="14"/>
  <c r="I21" i="14" s="1"/>
  <c r="J21" i="14" s="1"/>
  <c r="K21" i="14" s="1"/>
  <c r="L21" i="14" s="1"/>
  <c r="H22" i="14"/>
  <c r="I22" i="14" s="1"/>
  <c r="J22" i="14" s="1"/>
  <c r="K22" i="14" s="1"/>
  <c r="L22" i="14" s="1"/>
  <c r="H23" i="14"/>
  <c r="I23" i="14" s="1"/>
  <c r="J23" i="14" s="1"/>
  <c r="K23" i="14" s="1"/>
  <c r="L23" i="14" s="1"/>
  <c r="H24" i="14"/>
  <c r="I24" i="14" s="1"/>
  <c r="J24" i="14" s="1"/>
  <c r="K24" i="14" s="1"/>
  <c r="L24" i="14" s="1"/>
  <c r="D7" i="7"/>
  <c r="D7" i="11"/>
  <c r="H19" i="14"/>
  <c r="I19" i="14" s="1"/>
  <c r="J19" i="14" s="1"/>
  <c r="K19" i="14" s="1"/>
  <c r="L19" i="14" s="1"/>
  <c r="H15" i="14"/>
  <c r="M50" i="14"/>
  <c r="H49" i="14"/>
  <c r="M59" i="14"/>
  <c r="J58" i="14"/>
  <c r="K58" i="14" s="1"/>
  <c r="L58" i="14" s="1"/>
  <c r="M52" i="14"/>
  <c r="H28" i="14" l="1"/>
  <c r="I28" i="14"/>
  <c r="H27" i="14"/>
  <c r="I15" i="14"/>
  <c r="J15" i="14" s="1"/>
  <c r="K15" i="14" s="1"/>
  <c r="L15" i="14" s="1"/>
  <c r="M58" i="14"/>
  <c r="M32" i="14"/>
  <c r="H48" i="14"/>
  <c r="M36" i="14"/>
  <c r="J28" i="14" l="1"/>
  <c r="H56" i="14"/>
  <c r="H54" i="14" s="1"/>
  <c r="I27" i="14"/>
  <c r="H51" i="14"/>
  <c r="H53" i="14" s="1"/>
  <c r="K28" i="14"/>
  <c r="J27" i="14" l="1"/>
  <c r="J56" i="14" s="1"/>
  <c r="J54" i="14" s="1"/>
  <c r="I51" i="14"/>
  <c r="I53" i="14" s="1"/>
  <c r="H55" i="14"/>
  <c r="H57" i="14" s="1"/>
  <c r="I56" i="14"/>
  <c r="I54" i="14" s="1"/>
  <c r="M34" i="14"/>
  <c r="K27" i="14"/>
  <c r="L28" i="14"/>
  <c r="J51" i="14" l="1"/>
  <c r="J53" i="14" s="1"/>
  <c r="J55" i="14" s="1"/>
  <c r="I55" i="14"/>
  <c r="K51" i="14"/>
  <c r="K53" i="14" s="1"/>
  <c r="K56" i="14"/>
  <c r="M30" i="14"/>
  <c r="M28" i="14"/>
  <c r="L27" i="14"/>
  <c r="L56" i="14" l="1"/>
  <c r="L54" i="14" s="1"/>
  <c r="K54" i="14"/>
  <c r="L51" i="14"/>
  <c r="L53" i="14" s="1"/>
  <c r="M27" i="14"/>
  <c r="M54" i="14" l="1"/>
  <c r="K55" i="14"/>
  <c r="M51" i="14"/>
  <c r="L55" i="14"/>
  <c r="M53" i="14"/>
  <c r="M55" i="14" l="1"/>
  <c r="G24" i="12"/>
  <c r="H24" i="12" s="1"/>
  <c r="I24" i="12" s="1"/>
  <c r="J24" i="12" s="1"/>
  <c r="K24" i="12" s="1"/>
  <c r="L24" i="12" s="1"/>
  <c r="D24" i="12"/>
  <c r="G23" i="12"/>
  <c r="H23" i="12" s="1"/>
  <c r="H31" i="12" s="1"/>
  <c r="D23" i="12"/>
  <c r="G22" i="12"/>
  <c r="H22" i="12" s="1"/>
  <c r="I22" i="12" s="1"/>
  <c r="J22" i="12" s="1"/>
  <c r="K22" i="12" s="1"/>
  <c r="L22" i="12" s="1"/>
  <c r="D22" i="12"/>
  <c r="G21" i="12"/>
  <c r="H21" i="12" s="1"/>
  <c r="H30" i="12" s="1"/>
  <c r="D21" i="12"/>
  <c r="G20" i="12"/>
  <c r="H20" i="12" s="1"/>
  <c r="I20" i="12" s="1"/>
  <c r="J20" i="12" s="1"/>
  <c r="K20" i="12" s="1"/>
  <c r="L20" i="12" s="1"/>
  <c r="D20" i="12"/>
  <c r="G19" i="12"/>
  <c r="H19" i="12" s="1"/>
  <c r="D19" i="12"/>
  <c r="G18" i="12"/>
  <c r="H18" i="12" s="1"/>
  <c r="I18" i="12" s="1"/>
  <c r="J18" i="12" s="1"/>
  <c r="K18" i="12" s="1"/>
  <c r="L18" i="12" s="1"/>
  <c r="D18" i="12"/>
  <c r="G17" i="12"/>
  <c r="H17" i="12" s="1"/>
  <c r="I17" i="12" s="1"/>
  <c r="J17" i="12" s="1"/>
  <c r="K17" i="12" s="1"/>
  <c r="L17" i="12" s="1"/>
  <c r="D17" i="12"/>
  <c r="G16" i="12"/>
  <c r="H16" i="12" s="1"/>
  <c r="I16" i="12" s="1"/>
  <c r="J16" i="12" s="1"/>
  <c r="K16" i="12" s="1"/>
  <c r="L16" i="12" s="1"/>
  <c r="D16" i="12"/>
  <c r="G15" i="12"/>
  <c r="H15" i="12" s="1"/>
  <c r="I15" i="12" s="1"/>
  <c r="J15" i="12" s="1"/>
  <c r="K15" i="12" s="1"/>
  <c r="L15" i="12" s="1"/>
  <c r="D15" i="12"/>
  <c r="G14" i="12"/>
  <c r="H14" i="12" s="1"/>
  <c r="H28" i="12" s="1"/>
  <c r="D14" i="12"/>
  <c r="H32" i="4"/>
  <c r="H36" i="4"/>
  <c r="H29" i="12" l="1"/>
  <c r="I19" i="12"/>
  <c r="I29" i="12" s="1"/>
  <c r="I21" i="12"/>
  <c r="I30" i="12" s="1"/>
  <c r="I23" i="12"/>
  <c r="I31" i="12" s="1"/>
  <c r="I14" i="12"/>
  <c r="I28" i="12" s="1"/>
  <c r="H27" i="12"/>
  <c r="H30" i="4"/>
  <c r="E4" i="10"/>
  <c r="D4" i="10"/>
  <c r="E3" i="10"/>
  <c r="D3" i="10"/>
  <c r="E2" i="10"/>
  <c r="D2" i="10"/>
  <c r="H5" i="10"/>
  <c r="E5" i="10"/>
  <c r="D5" i="10"/>
  <c r="H4" i="10"/>
  <c r="H3" i="10"/>
  <c r="H2" i="10"/>
  <c r="I32" i="4"/>
  <c r="B66" i="4"/>
  <c r="B65" i="4"/>
  <c r="A59" i="4"/>
  <c r="A58" i="4"/>
  <c r="L46" i="4"/>
  <c r="G8" i="15" s="1"/>
  <c r="K46" i="4"/>
  <c r="F8" i="15" s="1"/>
  <c r="J46" i="4"/>
  <c r="E8" i="15" s="1"/>
  <c r="I46" i="4"/>
  <c r="D8" i="15" s="1"/>
  <c r="H46" i="4"/>
  <c r="L42" i="4"/>
  <c r="K42" i="4"/>
  <c r="J42" i="4"/>
  <c r="I42" i="4"/>
  <c r="H42" i="4"/>
  <c r="G20" i="4"/>
  <c r="H20" i="4" s="1"/>
  <c r="I20" i="4" s="1"/>
  <c r="J20" i="4" s="1"/>
  <c r="K20" i="4" s="1"/>
  <c r="L20" i="4" s="1"/>
  <c r="D20" i="4"/>
  <c r="G22" i="4"/>
  <c r="H22" i="4" s="1"/>
  <c r="I22" i="4" s="1"/>
  <c r="J22" i="4" s="1"/>
  <c r="K22" i="4" s="1"/>
  <c r="L22" i="4" s="1"/>
  <c r="D22" i="4"/>
  <c r="E40" i="6"/>
  <c r="G40" i="6" s="1"/>
  <c r="E39" i="6"/>
  <c r="G39" i="6" s="1"/>
  <c r="G13" i="6"/>
  <c r="H13" i="6" s="1"/>
  <c r="G14" i="6"/>
  <c r="H14" i="6" s="1"/>
  <c r="I14" i="6" s="1"/>
  <c r="G15" i="6"/>
  <c r="H15" i="6" s="1"/>
  <c r="I15" i="6" s="1"/>
  <c r="J15" i="6" s="1"/>
  <c r="K15" i="6" s="1"/>
  <c r="L15" i="6" s="1"/>
  <c r="G16" i="6"/>
  <c r="H16" i="6" s="1"/>
  <c r="I16" i="6" s="1"/>
  <c r="J16" i="6" s="1"/>
  <c r="K16" i="6" s="1"/>
  <c r="L16" i="6" s="1"/>
  <c r="G17" i="6"/>
  <c r="H17" i="6" s="1"/>
  <c r="I17" i="6" s="1"/>
  <c r="J17" i="6" s="1"/>
  <c r="K17" i="6" s="1"/>
  <c r="L17" i="6" s="1"/>
  <c r="G18" i="6"/>
  <c r="H18" i="6" s="1"/>
  <c r="I18" i="6" s="1"/>
  <c r="J18" i="6" s="1"/>
  <c r="K18" i="6" s="1"/>
  <c r="L18" i="6" s="1"/>
  <c r="G19" i="6"/>
  <c r="H19" i="6" s="1"/>
  <c r="I19" i="6" s="1"/>
  <c r="J19" i="6" s="1"/>
  <c r="K19" i="6" s="1"/>
  <c r="L19" i="6" s="1"/>
  <c r="G20" i="6"/>
  <c r="H20" i="6" s="1"/>
  <c r="I20" i="6" s="1"/>
  <c r="J20" i="6" s="1"/>
  <c r="K20" i="6" s="1"/>
  <c r="L20" i="6" s="1"/>
  <c r="G21" i="6"/>
  <c r="H21" i="6" s="1"/>
  <c r="I21" i="6" s="1"/>
  <c r="J21" i="6" s="1"/>
  <c r="K21" i="6" s="1"/>
  <c r="L21" i="6" s="1"/>
  <c r="H41" i="6"/>
  <c r="I41" i="6" s="1"/>
  <c r="J41" i="6" s="1"/>
  <c r="D21" i="6"/>
  <c r="D20" i="6"/>
  <c r="D19" i="6"/>
  <c r="D18" i="6"/>
  <c r="D17" i="6"/>
  <c r="D16" i="6"/>
  <c r="D15" i="6"/>
  <c r="D14" i="6"/>
  <c r="D13" i="6"/>
  <c r="D49" i="4"/>
  <c r="E39" i="5"/>
  <c r="G39" i="5" s="1"/>
  <c r="E40" i="5"/>
  <c r="G40" i="5" s="1"/>
  <c r="G21" i="5"/>
  <c r="H21" i="5" s="1"/>
  <c r="I21" i="5" s="1"/>
  <c r="J21" i="5" s="1"/>
  <c r="K21" i="5" s="1"/>
  <c r="L21" i="5" s="1"/>
  <c r="D21" i="5"/>
  <c r="G20" i="5"/>
  <c r="H20" i="5" s="1"/>
  <c r="I20" i="5" s="1"/>
  <c r="J20" i="5" s="1"/>
  <c r="K20" i="5" s="1"/>
  <c r="L20" i="5" s="1"/>
  <c r="D20" i="5"/>
  <c r="G19" i="5"/>
  <c r="H19" i="5" s="1"/>
  <c r="I19" i="5" s="1"/>
  <c r="J19" i="5" s="1"/>
  <c r="K19" i="5" s="1"/>
  <c r="L19" i="5" s="1"/>
  <c r="D19" i="5"/>
  <c r="G18" i="5"/>
  <c r="H18" i="5" s="1"/>
  <c r="I18" i="5" s="1"/>
  <c r="J18" i="5" s="1"/>
  <c r="K18" i="5" s="1"/>
  <c r="L18" i="5" s="1"/>
  <c r="D18" i="5"/>
  <c r="G17" i="5"/>
  <c r="H17" i="5" s="1"/>
  <c r="I17" i="5" s="1"/>
  <c r="J17" i="5" s="1"/>
  <c r="K17" i="5" s="1"/>
  <c r="L17" i="5" s="1"/>
  <c r="D17" i="5"/>
  <c r="G16" i="5"/>
  <c r="H16" i="5" s="1"/>
  <c r="I16" i="5" s="1"/>
  <c r="J16" i="5" s="1"/>
  <c r="K16" i="5" s="1"/>
  <c r="L16" i="5" s="1"/>
  <c r="D16" i="5"/>
  <c r="G15" i="5"/>
  <c r="H15" i="5" s="1"/>
  <c r="I15" i="5" s="1"/>
  <c r="J15" i="5" s="1"/>
  <c r="K15" i="5" s="1"/>
  <c r="L15" i="5" s="1"/>
  <c r="D15" i="5"/>
  <c r="G14" i="5"/>
  <c r="H14" i="5" s="1"/>
  <c r="I14" i="5" s="1"/>
  <c r="D14" i="5"/>
  <c r="G13" i="5"/>
  <c r="H13" i="5" s="1"/>
  <c r="I13" i="5" s="1"/>
  <c r="J13" i="5" s="1"/>
  <c r="K13" i="5" s="1"/>
  <c r="D13" i="5"/>
  <c r="D48" i="4"/>
  <c r="I27" i="6"/>
  <c r="J27" i="6" s="1"/>
  <c r="I36" i="4"/>
  <c r="G14" i="4"/>
  <c r="G15" i="4"/>
  <c r="H15" i="4" s="1"/>
  <c r="G16" i="4"/>
  <c r="H16" i="4" s="1"/>
  <c r="I16" i="4" s="1"/>
  <c r="J16" i="4" s="1"/>
  <c r="K16" i="4" s="1"/>
  <c r="L16" i="4" s="1"/>
  <c r="G17" i="4"/>
  <c r="H17" i="4" s="1"/>
  <c r="I17" i="4" s="1"/>
  <c r="J17" i="4" s="1"/>
  <c r="K17" i="4" s="1"/>
  <c r="L17" i="4" s="1"/>
  <c r="G18" i="4"/>
  <c r="H18" i="4" s="1"/>
  <c r="I18" i="4" s="1"/>
  <c r="J18" i="4" s="1"/>
  <c r="K18" i="4" s="1"/>
  <c r="L18" i="4" s="1"/>
  <c r="G19" i="4"/>
  <c r="H19" i="4" s="1"/>
  <c r="I19" i="4" s="1"/>
  <c r="K19" i="4" s="1"/>
  <c r="L19" i="4" s="1"/>
  <c r="G21" i="4"/>
  <c r="H21" i="4" s="1"/>
  <c r="I21" i="4" s="1"/>
  <c r="J21" i="4" s="1"/>
  <c r="K21" i="4" s="1"/>
  <c r="L21" i="4" s="1"/>
  <c r="G23" i="4"/>
  <c r="H23" i="4" s="1"/>
  <c r="I23" i="4" s="1"/>
  <c r="J23" i="4" s="1"/>
  <c r="K23" i="4" s="1"/>
  <c r="L23" i="4" s="1"/>
  <c r="G24" i="4"/>
  <c r="H24" i="4" s="1"/>
  <c r="I24" i="4" s="1"/>
  <c r="J24" i="4" s="1"/>
  <c r="K24" i="4" s="1"/>
  <c r="L24" i="4" s="1"/>
  <c r="D14" i="4"/>
  <c r="D16" i="4"/>
  <c r="D17" i="4"/>
  <c r="D18" i="4"/>
  <c r="D19" i="4"/>
  <c r="D21" i="4"/>
  <c r="D23" i="4"/>
  <c r="D24" i="4"/>
  <c r="D15" i="4"/>
  <c r="I27" i="5"/>
  <c r="J27" i="5" s="1"/>
  <c r="I40" i="6"/>
  <c r="A50" i="6"/>
  <c r="I39" i="6"/>
  <c r="J39" i="6" s="1"/>
  <c r="A49" i="6"/>
  <c r="M37" i="6"/>
  <c r="M35" i="6"/>
  <c r="M33" i="6"/>
  <c r="M31" i="6"/>
  <c r="M29" i="6"/>
  <c r="I40" i="5"/>
  <c r="J40" i="5" s="1"/>
  <c r="K40" i="5" s="1"/>
  <c r="L40" i="5" s="1"/>
  <c r="A50" i="5"/>
  <c r="I39" i="5"/>
  <c r="J39" i="5" s="1"/>
  <c r="K39" i="5" s="1"/>
  <c r="L39" i="5" s="1"/>
  <c r="A49" i="5"/>
  <c r="H41" i="5"/>
  <c r="I41" i="5" s="1"/>
  <c r="J41" i="5" s="1"/>
  <c r="K41" i="5" s="1"/>
  <c r="L41" i="5" s="1"/>
  <c r="M37" i="5"/>
  <c r="M35" i="5"/>
  <c r="M33" i="5"/>
  <c r="M31" i="5"/>
  <c r="M29" i="5"/>
  <c r="L38" i="4"/>
  <c r="K38" i="4"/>
  <c r="J38" i="4"/>
  <c r="I38" i="4"/>
  <c r="H38" i="4"/>
  <c r="C5" i="15" s="1"/>
  <c r="H44" i="4"/>
  <c r="M40" i="4"/>
  <c r="J40" i="6"/>
  <c r="K40" i="6" s="1"/>
  <c r="L40" i="6" s="1"/>
  <c r="H28" i="4" l="1"/>
  <c r="D5" i="15"/>
  <c r="M44" i="4"/>
  <c r="C8" i="15"/>
  <c r="I15" i="4"/>
  <c r="J15" i="4" s="1"/>
  <c r="J32" i="4"/>
  <c r="J36" i="4"/>
  <c r="E5" i="15" s="1"/>
  <c r="I30" i="4"/>
  <c r="C6" i="15"/>
  <c r="M46" i="4"/>
  <c r="M38" i="4"/>
  <c r="M42" i="4"/>
  <c r="H43" i="5"/>
  <c r="M43" i="5" s="1"/>
  <c r="J3" i="10"/>
  <c r="J19" i="12"/>
  <c r="J29" i="12" s="1"/>
  <c r="I13" i="6"/>
  <c r="J13" i="6" s="1"/>
  <c r="K13" i="6" s="1"/>
  <c r="L13" i="6" s="1"/>
  <c r="H24" i="6"/>
  <c r="K27" i="6"/>
  <c r="L27" i="6" s="1"/>
  <c r="H49" i="6"/>
  <c r="H39" i="6"/>
  <c r="I49" i="6"/>
  <c r="H43" i="6"/>
  <c r="M43" i="6" s="1"/>
  <c r="J2" i="10"/>
  <c r="J4" i="10"/>
  <c r="J49" i="6"/>
  <c r="K39" i="6"/>
  <c r="L39" i="6" s="1"/>
  <c r="I28" i="4"/>
  <c r="H27" i="4"/>
  <c r="H40" i="5"/>
  <c r="J50" i="5"/>
  <c r="I50" i="5"/>
  <c r="H50" i="5"/>
  <c r="H40" i="6"/>
  <c r="I50" i="6"/>
  <c r="H50" i="6"/>
  <c r="J50" i="6"/>
  <c r="K27" i="5"/>
  <c r="L27" i="5" s="1"/>
  <c r="K41" i="6"/>
  <c r="L41" i="6" s="1"/>
  <c r="I49" i="5"/>
  <c r="H39" i="5"/>
  <c r="J49" i="5"/>
  <c r="H49" i="5"/>
  <c r="M41" i="5"/>
  <c r="H32" i="12"/>
  <c r="J23" i="12"/>
  <c r="J31" i="12" s="1"/>
  <c r="J21" i="12"/>
  <c r="J30" i="12" s="1"/>
  <c r="I32" i="12"/>
  <c r="J5" i="10"/>
  <c r="H34" i="4" s="1"/>
  <c r="I27" i="12"/>
  <c r="J14" i="12"/>
  <c r="J28" i="12" s="1"/>
  <c r="K36" i="4"/>
  <c r="F5" i="15" s="1"/>
  <c r="H25" i="6"/>
  <c r="H25" i="5"/>
  <c r="H24" i="5"/>
  <c r="J14" i="5"/>
  <c r="I24" i="5"/>
  <c r="I25" i="5"/>
  <c r="J14" i="6"/>
  <c r="L13" i="5"/>
  <c r="D3" i="15" l="1"/>
  <c r="H42" i="6"/>
  <c r="H44" i="6" s="1"/>
  <c r="B49" i="4" s="1"/>
  <c r="H8" i="15"/>
  <c r="C2" i="15"/>
  <c r="L36" i="4"/>
  <c r="G5" i="15" s="1"/>
  <c r="I34" i="4"/>
  <c r="C4" i="15"/>
  <c r="J30" i="4"/>
  <c r="D6" i="15"/>
  <c r="K32" i="4"/>
  <c r="C3" i="15"/>
  <c r="I27" i="4"/>
  <c r="D2" i="15" s="1"/>
  <c r="L49" i="6"/>
  <c r="I25" i="6"/>
  <c r="I24" i="6"/>
  <c r="I47" i="5"/>
  <c r="I45" i="5" s="1"/>
  <c r="H47" i="5"/>
  <c r="H45" i="5" s="1"/>
  <c r="E48" i="4" s="1"/>
  <c r="K19" i="12"/>
  <c r="K29" i="12" s="1"/>
  <c r="H47" i="6"/>
  <c r="H45" i="6" s="1"/>
  <c r="M27" i="6"/>
  <c r="J28" i="4"/>
  <c r="K21" i="12"/>
  <c r="K30" i="12" s="1"/>
  <c r="K23" i="12"/>
  <c r="K31" i="12" s="1"/>
  <c r="L49" i="5"/>
  <c r="K49" i="5"/>
  <c r="M41" i="6"/>
  <c r="M27" i="5"/>
  <c r="L50" i="6"/>
  <c r="K50" i="6"/>
  <c r="L50" i="5"/>
  <c r="K50" i="5"/>
  <c r="K49" i="6"/>
  <c r="M49" i="6" s="1"/>
  <c r="J32" i="12"/>
  <c r="K15" i="4"/>
  <c r="J27" i="12"/>
  <c r="K14" i="12"/>
  <c r="K28" i="12" s="1"/>
  <c r="H42" i="5"/>
  <c r="H44" i="5" s="1"/>
  <c r="B48" i="4" s="1"/>
  <c r="I42" i="5"/>
  <c r="J25" i="6"/>
  <c r="K14" i="6"/>
  <c r="J24" i="6"/>
  <c r="J24" i="5"/>
  <c r="J25" i="5"/>
  <c r="K14" i="5"/>
  <c r="M36" i="4" l="1"/>
  <c r="E3" i="15"/>
  <c r="I47" i="6"/>
  <c r="I45" i="6" s="1"/>
  <c r="I52" i="4" s="1"/>
  <c r="H5" i="15"/>
  <c r="K30" i="4"/>
  <c r="E6" i="15"/>
  <c r="J34" i="4"/>
  <c r="D4" i="15"/>
  <c r="I42" i="6"/>
  <c r="L32" i="4"/>
  <c r="M32" i="4"/>
  <c r="J47" i="6"/>
  <c r="J45" i="6" s="1"/>
  <c r="L19" i="12"/>
  <c r="L29" i="12" s="1"/>
  <c r="H46" i="6"/>
  <c r="H66" i="4" s="1"/>
  <c r="H59" i="4" s="1"/>
  <c r="E49" i="4"/>
  <c r="G49" i="4" s="1"/>
  <c r="H49" i="4" s="1"/>
  <c r="J47" i="5"/>
  <c r="J45" i="5" s="1"/>
  <c r="J27" i="4"/>
  <c r="E2" i="15" s="1"/>
  <c r="M50" i="6"/>
  <c r="M49" i="5"/>
  <c r="M50" i="5"/>
  <c r="H46" i="5"/>
  <c r="H65" i="4" s="1"/>
  <c r="K28" i="4"/>
  <c r="L23" i="12"/>
  <c r="L31" i="12" s="1"/>
  <c r="L21" i="12"/>
  <c r="L30" i="12" s="1"/>
  <c r="L15" i="4"/>
  <c r="K27" i="12"/>
  <c r="L14" i="12"/>
  <c r="L28" i="12" s="1"/>
  <c r="J42" i="6"/>
  <c r="J44" i="6" s="1"/>
  <c r="H50" i="4"/>
  <c r="L14" i="5"/>
  <c r="K25" i="5"/>
  <c r="K24" i="5"/>
  <c r="J42" i="5"/>
  <c r="J44" i="5" s="1"/>
  <c r="K25" i="6"/>
  <c r="L14" i="6"/>
  <c r="K24" i="6"/>
  <c r="I44" i="5"/>
  <c r="I44" i="6"/>
  <c r="K47" i="5" l="1"/>
  <c r="K45" i="5" s="1"/>
  <c r="F3" i="15"/>
  <c r="L30" i="4"/>
  <c r="G6" i="15" s="1"/>
  <c r="F6" i="15"/>
  <c r="K34" i="4"/>
  <c r="E4" i="15"/>
  <c r="M30" i="4"/>
  <c r="K47" i="6"/>
  <c r="K45" i="6" s="1"/>
  <c r="H51" i="4"/>
  <c r="H71" i="4" s="1"/>
  <c r="H72" i="4" s="1"/>
  <c r="M29" i="12"/>
  <c r="K27" i="4"/>
  <c r="F2" i="15" s="1"/>
  <c r="K32" i="12"/>
  <c r="J52" i="4"/>
  <c r="L28" i="4"/>
  <c r="M28" i="4" s="1"/>
  <c r="M31" i="12"/>
  <c r="L32" i="12"/>
  <c r="M28" i="12"/>
  <c r="M30" i="12"/>
  <c r="L27" i="12"/>
  <c r="M27" i="12" s="1"/>
  <c r="H52" i="4"/>
  <c r="C7" i="15" s="1"/>
  <c r="J48" i="4"/>
  <c r="J46" i="5"/>
  <c r="J65" i="4" s="1"/>
  <c r="H58" i="4"/>
  <c r="H56" i="4" s="1"/>
  <c r="G48" i="4"/>
  <c r="H48" i="4" s="1"/>
  <c r="K42" i="6"/>
  <c r="I49" i="4"/>
  <c r="I46" i="6"/>
  <c r="I48" i="4"/>
  <c r="I46" i="5"/>
  <c r="L25" i="6"/>
  <c r="M25" i="6" s="1"/>
  <c r="L24" i="6"/>
  <c r="K42" i="5"/>
  <c r="L24" i="5"/>
  <c r="L25" i="5"/>
  <c r="M25" i="5" s="1"/>
  <c r="J46" i="6"/>
  <c r="J66" i="4" s="1"/>
  <c r="J49" i="4"/>
  <c r="M32" i="12" l="1"/>
  <c r="I50" i="4"/>
  <c r="D7" i="15" s="1"/>
  <c r="G3" i="15"/>
  <c r="H3" i="15" s="1"/>
  <c r="H6" i="15"/>
  <c r="L34" i="4"/>
  <c r="G4" i="15" s="1"/>
  <c r="F4" i="15"/>
  <c r="M24" i="5"/>
  <c r="L47" i="5"/>
  <c r="L45" i="5" s="1"/>
  <c r="L47" i="6"/>
  <c r="L45" i="6" s="1"/>
  <c r="M45" i="6" s="1"/>
  <c r="L27" i="4"/>
  <c r="H54" i="4"/>
  <c r="C10" i="15" s="1"/>
  <c r="I51" i="4"/>
  <c r="K44" i="5"/>
  <c r="L42" i="6"/>
  <c r="L44" i="6" s="1"/>
  <c r="I66" i="4"/>
  <c r="K44" i="6"/>
  <c r="L42" i="5"/>
  <c r="L44" i="5" s="1"/>
  <c r="K52" i="4"/>
  <c r="I65" i="4"/>
  <c r="H53" i="4"/>
  <c r="M24" i="6"/>
  <c r="J50" i="4"/>
  <c r="E7" i="15" s="1"/>
  <c r="M34" i="4" l="1"/>
  <c r="H4" i="15"/>
  <c r="M27" i="4"/>
  <c r="G2" i="15"/>
  <c r="H2" i="15" s="1"/>
  <c r="I53" i="4"/>
  <c r="I71" i="4"/>
  <c r="I72" i="4" s="1"/>
  <c r="J51" i="4"/>
  <c r="M42" i="6"/>
  <c r="L52" i="4"/>
  <c r="M52" i="4" s="1"/>
  <c r="M45" i="5"/>
  <c r="K46" i="6"/>
  <c r="K49" i="4"/>
  <c r="M44" i="6"/>
  <c r="I59" i="4"/>
  <c r="L49" i="4"/>
  <c r="L46" i="6"/>
  <c r="L66" i="4" s="1"/>
  <c r="K48" i="4"/>
  <c r="K46" i="5"/>
  <c r="M44" i="5"/>
  <c r="H55" i="4"/>
  <c r="H57" i="4" s="1"/>
  <c r="I58" i="4"/>
  <c r="L46" i="5"/>
  <c r="L65" i="4" s="1"/>
  <c r="L48" i="4"/>
  <c r="L50" i="4" s="1"/>
  <c r="M42" i="5"/>
  <c r="L51" i="4" l="1"/>
  <c r="L71" i="4" s="1"/>
  <c r="L72" i="4" s="1"/>
  <c r="G7" i="15"/>
  <c r="I56" i="4"/>
  <c r="I54" i="4" s="1"/>
  <c r="D10" i="15" s="1"/>
  <c r="J53" i="4"/>
  <c r="J71" i="4"/>
  <c r="J72" i="4" s="1"/>
  <c r="J58" i="4"/>
  <c r="K50" i="4"/>
  <c r="F7" i="15" s="1"/>
  <c r="K65" i="4"/>
  <c r="M46" i="5"/>
  <c r="K66" i="4"/>
  <c r="M46" i="6"/>
  <c r="J59" i="4"/>
  <c r="L53" i="4" l="1"/>
  <c r="H7" i="15"/>
  <c r="J56" i="4"/>
  <c r="J54" i="4" s="1"/>
  <c r="K51" i="4"/>
  <c r="M50" i="4"/>
  <c r="K59" i="4"/>
  <c r="K58" i="4"/>
  <c r="I55" i="4"/>
  <c r="J55" i="4" l="1"/>
  <c r="E10" i="15"/>
  <c r="K56" i="4"/>
  <c r="K54" i="4" s="1"/>
  <c r="F10" i="15" s="1"/>
  <c r="L59" i="4"/>
  <c r="M51" i="4"/>
  <c r="K71" i="4"/>
  <c r="K72" i="4" s="1"/>
  <c r="K53" i="4"/>
  <c r="M53" i="4" s="1"/>
  <c r="L58" i="4"/>
  <c r="L56" i="4" l="1"/>
  <c r="L54" i="4" s="1"/>
  <c r="M58" i="4"/>
  <c r="M59" i="4"/>
  <c r="K55" i="4"/>
  <c r="L55" i="4" l="1"/>
  <c r="M55" i="4" s="1"/>
  <c r="H12" i="15" s="1"/>
  <c r="G10" i="15"/>
  <c r="H10" i="15" s="1"/>
  <c r="H11" i="15" s="1"/>
  <c r="M54" i="4"/>
  <c r="H1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Nicole_Hammill</author>
    <author>Hammill, Nicole</author>
  </authors>
  <commentList>
    <comment ref="F14" authorId="0" shapeId="0" xr:uid="{00000000-0006-0000-0000-000001000000}">
      <text>
        <r>
          <rPr>
            <b/>
            <sz val="8"/>
            <color indexed="81"/>
            <rFont val="Tahoma"/>
            <family val="2"/>
          </rPr>
          <t>If % effort requested is less than % effort on project, complete the cost-sharing worksheet.</t>
        </r>
        <r>
          <rPr>
            <sz val="8"/>
            <color indexed="81"/>
            <rFont val="Tahoma"/>
            <family val="2"/>
          </rPr>
          <t xml:space="preserve">
</t>
        </r>
      </text>
    </comment>
    <comment ref="E23" authorId="0" shapeId="0" xr:uid="{00000000-0006-0000-0000-000002000000}">
      <text>
        <r>
          <rPr>
            <sz val="8"/>
            <color indexed="81"/>
            <rFont val="Tahoma"/>
            <family val="2"/>
          </rPr>
          <t>Visit https://grants.nih.gov/grants/guide/notice-files/NOT-OD-24-104.html for current NIH stipends, tuition/fees.</t>
        </r>
      </text>
    </comment>
    <comment ref="A25" authorId="0" shapeId="0" xr:uid="{00000000-0006-0000-0000-000003000000}">
      <text>
        <r>
          <rPr>
            <sz val="8"/>
            <color indexed="81"/>
            <rFont val="Tahoma"/>
            <family val="2"/>
          </rPr>
          <t>For currrent NIH salary cap information, see: http://grants.nih.gov/grants/guide/notice-files/NOT-OD-25-085.html
If a PI is above the salary cap, cost-sharing of the difference must be documented.</t>
        </r>
      </text>
    </comment>
    <comment ref="A28" authorId="0" shapeId="0" xr:uid="{00000000-0006-0000-0000-000004000000}">
      <text>
        <r>
          <rPr>
            <sz val="8"/>
            <color indexed="81"/>
            <rFont val="Tahoma"/>
            <family val="2"/>
          </rPr>
          <t>For current fringe benefit rates, see:  http://www.lsuhsc.edu/administration/accounting/fa_fringe.aspx</t>
        </r>
      </text>
    </comment>
    <comment ref="A33" authorId="0" shapeId="0" xr:uid="{00000000-0006-0000-0000-000005000000}">
      <text>
        <r>
          <rPr>
            <sz val="8"/>
            <color indexed="81"/>
            <rFont val="Tahoma"/>
            <family val="2"/>
          </rPr>
          <t xml:space="preserve">State Travel Guide:
https://www.lsuhsc.edu/administration/accounting/travel.aspx
 </t>
        </r>
      </text>
    </comment>
    <comment ref="A41" authorId="1" shapeId="0" xr:uid="{00000000-0006-0000-0000-000006000000}">
      <text>
        <r>
          <rPr>
            <sz val="5"/>
            <color indexed="81"/>
            <rFont val="Tahoma"/>
            <family val="2"/>
          </rPr>
          <t>The costs of routine and ancillary services provided by hospitals to individuals participating in research programs. The costs of these services normally are assigned to specific research projects through the development and application of research patient care rates or amounts (hereafter “rates”). Research patient care costs do not include: (1) the otherwise allowable items of personal expense reimbursement, such as patient travel or subsistence, consulting physician fees, or any other direct payments related to all classes of individuals, including inpatients, outpatients, subjects, volunteers, and donors, (2) costs of ancillary tests performed in facilities outside the hospital on a fee-for-service basis (e.g., in an independent, privately owned laboratory) or in an affiliated medical school/university based on an organizational fee schedule, or (3) the data management or statistical analysis of clinical research results.</t>
        </r>
      </text>
    </comment>
    <comment ref="A45" authorId="0" shapeId="0" xr:uid="{00000000-0006-0000-0000-000007000000}">
      <text>
        <r>
          <rPr>
            <sz val="8"/>
            <color indexed="81"/>
            <rFont val="Tahoma"/>
            <family val="2"/>
          </rPr>
          <t>Visit http://www.lsuhsc.edu/no/tuition/ for current LSUHSC-NO tuition and fees.</t>
        </r>
      </text>
    </comment>
    <comment ref="H51" authorId="0" shapeId="0" xr:uid="{00000000-0006-0000-0000-000008000000}">
      <text>
        <r>
          <rPr>
            <sz val="8"/>
            <color indexed="81"/>
            <rFont val="Tahoma"/>
            <family val="2"/>
          </rPr>
          <t xml:space="preserve">This light blue row is the one to check to ensure your budget is within the modular limit of $250,000 in direct costs per year or less.  Must be a multiple of $25,000.
This is also the row to check to ensure that your direct costs do not exceed $500,000 per year; if they do, you must seek written approval from the NIH, 6 weeks in advance of the application deadline.  
</t>
        </r>
      </text>
    </comment>
    <comment ref="D54" authorId="0" shapeId="0" xr:uid="{00000000-0006-0000-0000-00000A000000}">
      <text>
        <r>
          <rPr>
            <sz val="8"/>
            <color indexed="81"/>
            <rFont val="Tahoma"/>
            <family val="2"/>
          </rPr>
          <t>For current F&amp;A rates, see:
http://www.lsuhsc.edu/administration/accounting/fa_fringe.aspx.  If  F&amp;A rate is less than official rate, complete the cost-sharing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Nicole_Hammill</author>
  </authors>
  <commentList>
    <comment ref="A28" authorId="0" shapeId="0" xr:uid="{00000000-0006-0000-0900-000001000000}">
      <text>
        <r>
          <rPr>
            <sz val="8"/>
            <color indexed="81"/>
            <rFont val="Tahoma"/>
            <family val="2"/>
          </rPr>
          <t>For current fringe benefit rates, see:  http://www.lsuhsc.edu/administration/accounting/fa_fringe.aspx</t>
        </r>
      </text>
    </comment>
  </commentList>
</comments>
</file>

<file path=xl/sharedStrings.xml><?xml version="1.0" encoding="utf-8"?>
<sst xmlns="http://schemas.openxmlformats.org/spreadsheetml/2006/main" count="537" uniqueCount="175">
  <si>
    <t>Principal Investigator/Program Director:</t>
  </si>
  <si>
    <t>FROM:</t>
  </si>
  <si>
    <t>THROUGH:</t>
  </si>
  <si>
    <t>PERSONNEL</t>
  </si>
  <si>
    <t>INST.</t>
  </si>
  <si>
    <t>ROLE ON</t>
  </si>
  <si>
    <t>BASE</t>
  </si>
  <si>
    <t>YEAR 1</t>
  </si>
  <si>
    <t>YEAR 2</t>
  </si>
  <si>
    <t>YEAR 3</t>
  </si>
  <si>
    <t>YEAR 4</t>
  </si>
  <si>
    <t>YEAR 5</t>
  </si>
  <si>
    <t>PROJECT</t>
  </si>
  <si>
    <t>NAME</t>
  </si>
  <si>
    <t>SALARY</t>
  </si>
  <si>
    <t>Requested</t>
  </si>
  <si>
    <t>TOTALS</t>
  </si>
  <si>
    <t>TOTAL</t>
  </si>
  <si>
    <t>SUB-TOTAL SALARIES</t>
  </si>
  <si>
    <t>SUPPLIES , CONSULTANTS, TRAVEL, &amp; OTHER EXPENSES</t>
  </si>
  <si>
    <t>DIRECT COSTS</t>
  </si>
  <si>
    <t>RATE</t>
  </si>
  <si>
    <t>MTDC for Subcontract calculations</t>
  </si>
  <si>
    <t>PI</t>
  </si>
  <si>
    <t>SUBTOTAL DIRECT COSTS</t>
  </si>
  <si>
    <t xml:space="preserve"> </t>
  </si>
  <si>
    <t>Research Associate</t>
  </si>
  <si>
    <t>TBA</t>
  </si>
  <si>
    <t>.</t>
  </si>
  <si>
    <t>Postdoc Res</t>
  </si>
  <si>
    <t>Mass Spectrometer</t>
  </si>
  <si>
    <t>Postdoc Fellow</t>
  </si>
  <si>
    <t>1497400007X</t>
  </si>
  <si>
    <t>BUDGET WORKSHEET</t>
  </si>
  <si>
    <t>CONSORTIUM DIRECT COSTS</t>
  </si>
  <si>
    <t>CONSORTIUM FACILITIES AND ADMINISTRATION (F&amp;A) COSTS</t>
  </si>
  <si>
    <t>LSUHSC F&amp;A COSTS</t>
  </si>
  <si>
    <t>TOTAL DIRECT COSTS</t>
  </si>
  <si>
    <t>TOTAL PROJECT COSTS</t>
  </si>
  <si>
    <t>Months</t>
  </si>
  <si>
    <t>BUDGET FOR PERIOD:</t>
  </si>
  <si>
    <t>F&amp;A</t>
  </si>
  <si>
    <t>CONSORTIUM/CONTRACTUAL</t>
  </si>
  <si>
    <t>on Project</t>
  </si>
  <si>
    <r>
      <t xml:space="preserve">EQUIPMENT </t>
    </r>
    <r>
      <rPr>
        <b/>
        <vertAlign val="superscript"/>
        <sz val="8"/>
        <rFont val="Arial"/>
        <family val="2"/>
      </rPr>
      <t>1</t>
    </r>
  </si>
  <si>
    <r>
      <t xml:space="preserve">PATIENT CARE COSTS </t>
    </r>
    <r>
      <rPr>
        <b/>
        <vertAlign val="superscript"/>
        <sz val="8"/>
        <rFont val="Arial"/>
        <family val="2"/>
      </rPr>
      <t>1</t>
    </r>
  </si>
  <si>
    <r>
      <t xml:space="preserve">ALTERATIONS AND RENOVATIONS </t>
    </r>
    <r>
      <rPr>
        <b/>
        <vertAlign val="superscript"/>
        <sz val="8"/>
        <rFont val="Arial"/>
        <family val="2"/>
      </rPr>
      <t>1</t>
    </r>
  </si>
  <si>
    <r>
      <t xml:space="preserve">STUDENT STIPENDS AND TUITION </t>
    </r>
    <r>
      <rPr>
        <b/>
        <vertAlign val="superscript"/>
        <sz val="8"/>
        <rFont val="Arial"/>
        <family val="2"/>
      </rPr>
      <t>1</t>
    </r>
  </si>
  <si>
    <r>
      <t>1</t>
    </r>
    <r>
      <rPr>
        <sz val="10"/>
        <rFont val="Arial"/>
        <family val="2"/>
      </rPr>
      <t xml:space="preserve"> MTDC: Exclude Subcontracts over $25,000 (the first $25,000 is included in the calculation), capital equipment expenditures in excess of $5,000, alterations and renovations, patient care costs, student stipends and tuition payments. Fringe benefits and patient incentives are included in this calculation.</t>
    </r>
  </si>
  <si>
    <r>
      <t xml:space="preserve">MTDC BASE </t>
    </r>
    <r>
      <rPr>
        <b/>
        <vertAlign val="superscript"/>
        <sz val="8"/>
        <rFont val="Arial"/>
        <family val="2"/>
      </rPr>
      <t>1</t>
    </r>
  </si>
  <si>
    <t>Rate:</t>
  </si>
  <si>
    <t>CHILDREN'S HOSPITAL (SUBRECIPIENT)</t>
  </si>
  <si>
    <t>Consortium PI</t>
  </si>
  <si>
    <t>Vivian Vance</t>
  </si>
  <si>
    <t>FRINGE BENEFITS 29% Grad Students .4% Postdoc Fellows 13.9%</t>
  </si>
  <si>
    <t>CHNOLA F&amp;A COSTS</t>
  </si>
  <si>
    <t>SW LA. Area Health Education Center (SWLAHEC) (SUBRECIPIENT)</t>
  </si>
  <si>
    <t>FRINGE BENEFITS 27% Grad Students .6% Postdoc Fellows 18%</t>
  </si>
  <si>
    <t>Travel to National Meeting</t>
  </si>
  <si>
    <t>SWLAHEC F&amp;A COSTS</t>
  </si>
  <si>
    <t>NIH Salary Cap</t>
  </si>
  <si>
    <t>% Effort</t>
  </si>
  <si>
    <t># of months in year</t>
  </si>
  <si>
    <t>Calendar</t>
  </si>
  <si>
    <t xml:space="preserve">Lab Renovations (200 s.f. @ 40) </t>
  </si>
  <si>
    <t>Annual % increase</t>
  </si>
  <si>
    <t>LSUHSC-NO</t>
  </si>
  <si>
    <t>Student Worker</t>
  </si>
  <si>
    <t>Flu Shots (30 patients @ $15)</t>
  </si>
  <si>
    <t>Summer students (2 @ 2425)</t>
  </si>
  <si>
    <t>Rhett Butler</t>
  </si>
  <si>
    <t>Subgrantee totals:</t>
  </si>
  <si>
    <t>Subgrantee2</t>
  </si>
  <si>
    <t>Subgrantee1</t>
  </si>
  <si>
    <r>
      <t xml:space="preserve">Enter your information where </t>
    </r>
    <r>
      <rPr>
        <b/>
        <sz val="18"/>
        <color rgb="FFFF0000"/>
        <rFont val="Arial"/>
        <family val="2"/>
      </rPr>
      <t xml:space="preserve">red text </t>
    </r>
    <r>
      <rPr>
        <sz val="18"/>
        <rFont val="Arial"/>
        <family val="2"/>
      </rPr>
      <t>appears</t>
    </r>
  </si>
  <si>
    <t>CONSULTANTS</t>
  </si>
  <si>
    <t>TRAVEL</t>
  </si>
  <si>
    <t>OTHER EXPENSES</t>
  </si>
  <si>
    <t xml:space="preserve">SUPPLIES </t>
  </si>
  <si>
    <t>Two (2) persons, once per year, to Washington, D.C., for 2 days</t>
  </si>
  <si>
    <t>Number of Travelers</t>
  </si>
  <si>
    <t>Number of Overnights</t>
  </si>
  <si>
    <t>3 meals per day</t>
  </si>
  <si>
    <t>Estimated Airfare</t>
  </si>
  <si>
    <t>Estimated Registration Fee</t>
  </si>
  <si>
    <t>Misc. Expenses</t>
  </si>
  <si>
    <t>Ground Transportation</t>
  </si>
  <si>
    <t>IV</t>
  </si>
  <si>
    <t>Total</t>
  </si>
  <si>
    <t>Lodging</t>
  </si>
  <si>
    <t>I</t>
  </si>
  <si>
    <t>II</t>
  </si>
  <si>
    <t>III</t>
  </si>
  <si>
    <r>
      <t xml:space="preserve">Destination Tier (I, II, III, or IV) </t>
    </r>
    <r>
      <rPr>
        <b/>
        <vertAlign val="superscript"/>
        <sz val="10"/>
        <rFont val="Arial"/>
        <family val="2"/>
      </rPr>
      <t>1</t>
    </r>
  </si>
  <si>
    <r>
      <rPr>
        <u/>
        <vertAlign val="superscript"/>
        <sz val="10"/>
        <color theme="10"/>
        <rFont val="Arial"/>
        <family val="2"/>
      </rPr>
      <t>1</t>
    </r>
    <r>
      <rPr>
        <u/>
        <sz val="10"/>
        <color theme="10"/>
        <rFont val="Arial"/>
        <family val="2"/>
      </rPr>
      <t xml:space="preserve"> http://doa.louisiana.gov/osp/travel/travelpolicy/LAtravelguide2012-13.pdf </t>
    </r>
  </si>
  <si>
    <t>Mice</t>
  </si>
  <si>
    <t>Glassware</t>
  </si>
  <si>
    <t>Chemicals</t>
  </si>
  <si>
    <t>Reagents</t>
  </si>
  <si>
    <t>Misc. Lab Supplies</t>
  </si>
  <si>
    <t>Current Direct Cost:</t>
  </si>
  <si>
    <t>Maintenance Agreements</t>
  </si>
  <si>
    <t>Software</t>
  </si>
  <si>
    <t>Use of Core Facilities</t>
  </si>
  <si>
    <t>Publication Costs</t>
  </si>
  <si>
    <t>Animal Care Costs</t>
  </si>
  <si>
    <t>Direct Cost Target (if any):</t>
  </si>
  <si>
    <t>Variance from target:</t>
  </si>
  <si>
    <t>Number</t>
  </si>
  <si>
    <t>Unit Price</t>
  </si>
  <si>
    <t>Item</t>
  </si>
  <si>
    <t>Mice, glassware, chemicals, reagents, misc. supplies</t>
  </si>
  <si>
    <t>Animal care, maint. agreements, software, core charges, pubs.</t>
  </si>
  <si>
    <t>Name</t>
  </si>
  <si>
    <t>Company</t>
  </si>
  <si>
    <t>Consulting Service</t>
  </si>
  <si>
    <t>Dr. Moe Green</t>
  </si>
  <si>
    <t>Immunoassays</t>
  </si>
  <si>
    <t>Vegas Laboratories, Ltd.</t>
  </si>
  <si>
    <t>Hours Proposed</t>
  </si>
  <si>
    <t>Price Per Hour</t>
  </si>
  <si>
    <t>Vito Corleone, M.D.</t>
  </si>
  <si>
    <t>Mildred Pierce</t>
  </si>
  <si>
    <t>Stella Dallas</t>
  </si>
  <si>
    <t>Norman Bates</t>
  </si>
  <si>
    <t>Tyler Durden</t>
  </si>
  <si>
    <t>Keyser Söze</t>
  </si>
  <si>
    <t>Tony Montana, PhD</t>
  </si>
  <si>
    <t>Dorothy Gale, PhD</t>
  </si>
  <si>
    <t>Mary Richards</t>
  </si>
  <si>
    <t>Laverne Defazio, PhD</t>
  </si>
  <si>
    <t>Lucille Ball, MD</t>
  </si>
  <si>
    <r>
      <t xml:space="preserve">Vito Corleone, MD </t>
    </r>
    <r>
      <rPr>
        <vertAlign val="superscript"/>
        <sz val="10"/>
        <color rgb="FFFF0000"/>
        <rFont val="Arial"/>
        <family val="2"/>
      </rPr>
      <t>1</t>
    </r>
  </si>
  <si>
    <r>
      <t>1</t>
    </r>
    <r>
      <rPr>
        <sz val="10"/>
        <rFont val="Arial"/>
        <family val="2"/>
      </rPr>
      <t xml:space="preserve"> DR. CORLEONE IS ABOVE THE NIH SALARY CAP</t>
    </r>
  </si>
  <si>
    <t>Grad. Assist.</t>
  </si>
  <si>
    <t>Fringe Benefits - Faculty &amp; Staff</t>
  </si>
  <si>
    <t>Fringe Benefits - Graduate Assistants</t>
  </si>
  <si>
    <t>Fringe Benefits - Student Workers</t>
  </si>
  <si>
    <t>Fringe Beenfits - Postdoctoral Fellows</t>
  </si>
  <si>
    <t>SUB-TOTAL FRINGE BENEFITS</t>
  </si>
  <si>
    <t>COST SHARING SPEEDTYPE AND NAME:  XXXXXXXXXX/INDIRECT COSTS RECOV-CURRENT YEAR</t>
  </si>
  <si>
    <r>
      <t xml:space="preserve">PARTICIPANT SUPPORT COSTS </t>
    </r>
    <r>
      <rPr>
        <b/>
        <vertAlign val="superscript"/>
        <sz val="8"/>
        <rFont val="Arial"/>
        <family val="2"/>
      </rPr>
      <t>1</t>
    </r>
  </si>
  <si>
    <t>30 patients @ $25</t>
  </si>
  <si>
    <r>
      <t>1</t>
    </r>
    <r>
      <rPr>
        <sz val="10"/>
        <rFont val="Arial"/>
        <family val="2"/>
      </rPr>
      <t xml:space="preserve"> MTDC:</t>
    </r>
  </si>
  <si>
    <r>
      <t>1</t>
    </r>
    <r>
      <rPr>
        <sz val="10"/>
        <rFont val="Arial"/>
        <family val="2"/>
      </rPr>
      <t xml:space="preserve"> MTDC: </t>
    </r>
  </si>
  <si>
    <t>New Grant:  R01/PA-16-160</t>
  </si>
  <si>
    <t>Salary</t>
  </si>
  <si>
    <t>Fringe</t>
  </si>
  <si>
    <t>Travel</t>
  </si>
  <si>
    <t>Supplies</t>
  </si>
  <si>
    <t>Professional services, subawards</t>
  </si>
  <si>
    <t>Equipment</t>
  </si>
  <si>
    <t>F &amp; A</t>
  </si>
  <si>
    <t>Budget Period 2</t>
  </si>
  <si>
    <t>Budget Period 1</t>
  </si>
  <si>
    <t>Budget Period 3</t>
  </si>
  <si>
    <t>Budget Period 4</t>
  </si>
  <si>
    <t>Budget Period 5</t>
  </si>
  <si>
    <t>Account Code</t>
  </si>
  <si>
    <t>Description</t>
  </si>
  <si>
    <t>Total All Budget Periods</t>
  </si>
  <si>
    <t>Total All Account Codes</t>
  </si>
  <si>
    <t>Total on "Prime Grantee" Worksheet</t>
  </si>
  <si>
    <t>Variance (if any - should equal 0)</t>
  </si>
  <si>
    <r>
      <t xml:space="preserve">Operating Services </t>
    </r>
    <r>
      <rPr>
        <vertAlign val="superscript"/>
        <sz val="10"/>
        <rFont val="Arial"/>
        <family val="2"/>
      </rPr>
      <t>1</t>
    </r>
  </si>
  <si>
    <r>
      <t>Other</t>
    </r>
    <r>
      <rPr>
        <vertAlign val="superscript"/>
        <sz val="10"/>
        <rFont val="Arial"/>
        <family val="2"/>
      </rPr>
      <t xml:space="preserve"> 2</t>
    </r>
  </si>
  <si>
    <t>New Grant:  R01/PA-18-484</t>
  </si>
  <si>
    <r>
      <t xml:space="preserve">1 </t>
    </r>
    <r>
      <rPr>
        <sz val="10"/>
        <rFont val="Arial"/>
        <family val="2"/>
      </rPr>
      <t>Defined herein as "Other Expenses", "Participant Support Costs", and "Patient Care Costs" from "Prime Grantee" Worksheet</t>
    </r>
  </si>
  <si>
    <r>
      <t xml:space="preserve">2 </t>
    </r>
    <r>
      <rPr>
        <sz val="10"/>
        <rFont val="Arial"/>
        <family val="2"/>
      </rPr>
      <t>Defined herein as "Student Stipends" and "Alterations and Renovations" from "Prime Grantee" worksheet</t>
    </r>
  </si>
  <si>
    <t xml:space="preserve">LSUHSC F&amp;A COSTS </t>
  </si>
  <si>
    <t>Subgrantee1 (Please add name of subgrantee 1)</t>
  </si>
  <si>
    <t>Subgrantee2 (Please add name of subgrantee 2)</t>
  </si>
  <si>
    <r>
      <t>1</t>
    </r>
    <r>
      <rPr>
        <sz val="10"/>
        <rFont val="Arial"/>
        <family val="2"/>
      </rPr>
      <t xml:space="preserve"> MTDC: Exclude Subcontracts over $25,000 (the first $25,000 is included in the calculation), equipment, capital expenditures, alterations &amp; renovations,
patient care costs, rental costs, participant support costs, student stipends, scholarships, fellowships, and tuition payments. Fringe benefits are included in this calculation.                                                                                                                                                                                                                                            </t>
    </r>
  </si>
  <si>
    <t>FRINGE BENEFITS 38% (Grad Students = 0.6%; Student Workers = 4.2%; Postdoc Fellows =  15%)</t>
  </si>
  <si>
    <r>
      <t>FRINGE BENEFITS</t>
    </r>
    <r>
      <rPr>
        <sz val="8"/>
        <rFont val="Arial"/>
        <family val="2"/>
      </rPr>
      <t xml:space="preserve"> 38% (Grad Students = .6%; Student Workers = 4.2%; Postdoc Fellows =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</si>
</sst>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mm/dd/yy_)"/>
    <numFmt numFmtId="165" formatCode=";;;"/>
    <numFmt numFmtId="166" formatCode="0.0%"/>
  </numFmts>
  <fonts count="38">
    <font>
      <sz val="10"/>
      <name val="Arial"/>
    </font>
    <font>
      <sz val="10"/>
      <name val="Arial"/>
      <family val="2"/>
    </font>
    <font>
      <sz val="10"/>
      <color indexed="8"/>
      <name val="Arial MT"/>
    </font>
    <font>
      <b/>
      <sz val="12"/>
      <name val="Arial"/>
      <family val="2"/>
    </font>
    <font>
      <b/>
      <sz val="8"/>
      <name val="Arial"/>
      <family val="2"/>
    </font>
    <font>
      <sz val="12"/>
      <name val="Arial"/>
      <family val="2"/>
    </font>
    <font>
      <sz val="10"/>
      <name val="Arial"/>
      <family val="2"/>
    </font>
    <font>
      <i/>
      <sz val="7"/>
      <name val="Arial"/>
      <family val="2"/>
    </font>
    <font>
      <sz val="10"/>
      <name val="Arial"/>
      <family val="2"/>
    </font>
    <font>
      <b/>
      <sz val="10"/>
      <name val="Arial"/>
      <family val="2"/>
    </font>
    <font>
      <sz val="10"/>
      <name val="Arial"/>
      <family val="2"/>
    </font>
    <font>
      <sz val="8"/>
      <name val="Arial"/>
      <family val="2"/>
    </font>
    <font>
      <sz val="10"/>
      <name val="Arial"/>
      <family val="2"/>
    </font>
    <font>
      <sz val="7"/>
      <name val="Arial"/>
      <family val="2"/>
    </font>
    <font>
      <sz val="10"/>
      <name val="Arial"/>
      <family val="2"/>
    </font>
    <font>
      <vertAlign val="superscript"/>
      <sz val="10"/>
      <name val="Arial"/>
      <family val="2"/>
    </font>
    <font>
      <sz val="10"/>
      <name val="Arial"/>
      <family val="2"/>
    </font>
    <font>
      <b/>
      <sz val="14"/>
      <name val="Arial"/>
      <family val="2"/>
    </font>
    <font>
      <sz val="10"/>
      <name val="Arial"/>
      <family val="2"/>
    </font>
    <font>
      <b/>
      <sz val="10"/>
      <name val="Arial"/>
      <family val="2"/>
    </font>
    <font>
      <b/>
      <sz val="12"/>
      <name val="Arial"/>
      <family val="2"/>
    </font>
    <font>
      <b/>
      <vertAlign val="superscript"/>
      <sz val="8"/>
      <name val="Arial"/>
      <family val="2"/>
    </font>
    <font>
      <sz val="10"/>
      <name val="Arial"/>
      <family val="2"/>
    </font>
    <font>
      <sz val="8"/>
      <color indexed="81"/>
      <name val="Tahoma"/>
      <family val="2"/>
    </font>
    <font>
      <sz val="10"/>
      <color rgb="FFFF0000"/>
      <name val="Arial"/>
      <family val="2"/>
    </font>
    <font>
      <b/>
      <sz val="12"/>
      <color rgb="FFFF0000"/>
      <name val="Arial"/>
      <family val="2"/>
    </font>
    <font>
      <sz val="18"/>
      <name val="Arial"/>
      <family val="2"/>
    </font>
    <font>
      <b/>
      <sz val="18"/>
      <color rgb="FFFF0000"/>
      <name val="Arial"/>
      <family val="2"/>
    </font>
    <font>
      <b/>
      <sz val="10"/>
      <color rgb="FFFF0000"/>
      <name val="Arial"/>
      <family val="2"/>
    </font>
    <font>
      <vertAlign val="superscript"/>
      <sz val="10"/>
      <color rgb="FFFF0000"/>
      <name val="Arial"/>
      <family val="2"/>
    </font>
    <font>
      <b/>
      <sz val="14"/>
      <color rgb="FFFF0000"/>
      <name val="Arial"/>
      <family val="2"/>
    </font>
    <font>
      <sz val="10"/>
      <name val="Arial"/>
      <family val="2"/>
    </font>
    <font>
      <u/>
      <sz val="10"/>
      <color theme="10"/>
      <name val="Arial"/>
      <family val="2"/>
    </font>
    <font>
      <b/>
      <vertAlign val="superscript"/>
      <sz val="10"/>
      <name val="Arial"/>
      <family val="2"/>
    </font>
    <font>
      <u/>
      <vertAlign val="superscript"/>
      <sz val="10"/>
      <color theme="10"/>
      <name val="Arial"/>
      <family val="2"/>
    </font>
    <font>
      <b/>
      <sz val="8"/>
      <color indexed="81"/>
      <name val="Tahoma"/>
      <family val="2"/>
    </font>
    <font>
      <b/>
      <sz val="16"/>
      <name val="Arial"/>
      <family val="2"/>
    </font>
    <font>
      <sz val="5"/>
      <color indexed="81"/>
      <name val="Tahoma"/>
      <family val="2"/>
    </font>
  </fonts>
  <fills count="14">
    <fill>
      <patternFill patternType="none"/>
    </fill>
    <fill>
      <patternFill patternType="gray125"/>
    </fill>
    <fill>
      <patternFill patternType="solid">
        <fgColor indexed="9"/>
        <bgColor indexed="9"/>
      </patternFill>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50"/>
        <bgColor indexed="64"/>
      </patternFill>
    </fill>
    <fill>
      <patternFill patternType="solid">
        <fgColor indexed="47"/>
        <bgColor indexed="64"/>
      </patternFill>
    </fill>
    <fill>
      <patternFill patternType="solid">
        <fgColor indexed="5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2">
    <xf numFmtId="5" fontId="0" fillId="0" borderId="0"/>
    <xf numFmtId="9" fontId="1" fillId="0"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44" fontId="31" fillId="0" borderId="0" applyFont="0" applyFill="0" applyBorder="0" applyAlignment="0" applyProtection="0"/>
    <xf numFmtId="0" fontId="32" fillId="0" borderId="0" applyNumberFormat="0" applyFill="0" applyBorder="0" applyAlignment="0" applyProtection="0">
      <alignment vertical="top"/>
      <protection locked="0"/>
    </xf>
  </cellStyleXfs>
  <cellXfs count="185">
    <xf numFmtId="5" fontId="0" fillId="0" borderId="0" xfId="0"/>
    <xf numFmtId="5" fontId="6" fillId="0" borderId="0" xfId="0" applyFont="1" applyProtection="1">
      <protection locked="0"/>
    </xf>
    <xf numFmtId="5" fontId="8" fillId="0" borderId="0" xfId="0" applyFont="1" applyProtection="1">
      <protection locked="0"/>
    </xf>
    <xf numFmtId="5" fontId="10" fillId="0" borderId="0" xfId="0" applyFont="1" applyProtection="1">
      <protection locked="0"/>
    </xf>
    <xf numFmtId="5" fontId="3" fillId="0" borderId="0" xfId="0" applyFont="1" applyProtection="1">
      <protection locked="0"/>
    </xf>
    <xf numFmtId="5" fontId="9" fillId="0" borderId="0" xfId="0" applyFont="1" applyProtection="1">
      <protection locked="0"/>
    </xf>
    <xf numFmtId="5" fontId="7" fillId="0" borderId="1" xfId="0" applyFont="1" applyBorder="1" applyProtection="1">
      <protection locked="0"/>
    </xf>
    <xf numFmtId="5" fontId="8" fillId="0" borderId="1" xfId="0" applyFont="1" applyBorder="1" applyProtection="1">
      <protection locked="0"/>
    </xf>
    <xf numFmtId="5" fontId="9" fillId="0" borderId="1" xfId="0" applyFont="1" applyBorder="1" applyProtection="1">
      <protection locked="0"/>
    </xf>
    <xf numFmtId="5" fontId="10" fillId="0" borderId="1" xfId="0" applyFont="1" applyBorder="1" applyProtection="1">
      <protection locked="0"/>
    </xf>
    <xf numFmtId="5" fontId="3" fillId="0" borderId="1" xfId="0" applyFont="1" applyBorder="1" applyProtection="1">
      <protection locked="0"/>
    </xf>
    <xf numFmtId="5" fontId="6" fillId="0" borderId="1" xfId="0" applyFont="1" applyBorder="1" applyProtection="1">
      <protection locked="0"/>
    </xf>
    <xf numFmtId="5" fontId="11" fillId="0" borderId="1" xfId="0" applyFont="1" applyBorder="1" applyProtection="1">
      <protection locked="0"/>
    </xf>
    <xf numFmtId="5" fontId="14" fillId="0" borderId="1" xfId="0" applyFont="1" applyBorder="1" applyProtection="1">
      <protection locked="0"/>
    </xf>
    <xf numFmtId="5" fontId="5" fillId="0" borderId="1" xfId="0" applyFont="1" applyBorder="1" applyProtection="1">
      <protection locked="0"/>
    </xf>
    <xf numFmtId="5" fontId="6" fillId="0" borderId="1" xfId="0" applyFont="1" applyBorder="1" applyAlignment="1" applyProtection="1">
      <alignment wrapText="1"/>
      <protection locked="0"/>
    </xf>
    <xf numFmtId="5" fontId="15" fillId="0" borderId="1" xfId="0" applyFont="1" applyBorder="1" applyProtection="1">
      <protection locked="0"/>
    </xf>
    <xf numFmtId="5" fontId="16" fillId="0" borderId="1" xfId="0" applyFont="1" applyBorder="1" applyProtection="1">
      <protection locked="0"/>
    </xf>
    <xf numFmtId="5" fontId="13" fillId="0" borderId="1" xfId="0" applyFont="1" applyBorder="1" applyProtection="1">
      <protection locked="0"/>
    </xf>
    <xf numFmtId="5" fontId="11" fillId="0" borderId="1" xfId="0" applyFont="1" applyBorder="1" applyAlignment="1" applyProtection="1">
      <alignment horizontal="center"/>
      <protection locked="0"/>
    </xf>
    <xf numFmtId="37" fontId="6" fillId="0" borderId="1" xfId="0" applyNumberFormat="1" applyFont="1" applyBorder="1" applyProtection="1">
      <protection locked="0"/>
    </xf>
    <xf numFmtId="165" fontId="3" fillId="0" borderId="1" xfId="0" applyNumberFormat="1" applyFont="1" applyBorder="1" applyProtection="1">
      <protection locked="0"/>
    </xf>
    <xf numFmtId="5" fontId="18" fillId="0" borderId="1" xfId="0" applyFont="1" applyBorder="1" applyProtection="1">
      <protection locked="0"/>
    </xf>
    <xf numFmtId="37" fontId="3" fillId="0" borderId="1" xfId="0" applyNumberFormat="1" applyFont="1" applyBorder="1" applyProtection="1">
      <protection locked="0"/>
    </xf>
    <xf numFmtId="9" fontId="6" fillId="0" borderId="1" xfId="1" applyFont="1" applyFill="1" applyBorder="1" applyProtection="1">
      <protection locked="0"/>
    </xf>
    <xf numFmtId="9" fontId="17" fillId="0" borderId="1" xfId="1" applyFont="1" applyFill="1" applyBorder="1" applyProtection="1">
      <protection locked="0"/>
    </xf>
    <xf numFmtId="0" fontId="6" fillId="0" borderId="1" xfId="1" applyNumberFormat="1" applyFont="1" applyFill="1" applyBorder="1" applyProtection="1">
      <protection locked="0"/>
    </xf>
    <xf numFmtId="0" fontId="8" fillId="0" borderId="1" xfId="1" applyNumberFormat="1" applyFont="1" applyFill="1" applyBorder="1" applyProtection="1">
      <protection locked="0"/>
    </xf>
    <xf numFmtId="0" fontId="10" fillId="0" borderId="1" xfId="1" applyNumberFormat="1" applyFont="1" applyFill="1" applyBorder="1" applyProtection="1">
      <protection locked="0"/>
    </xf>
    <xf numFmtId="0" fontId="16" fillId="0" borderId="1" xfId="1" applyNumberFormat="1" applyFont="1" applyFill="1" applyBorder="1" applyProtection="1">
      <protection locked="0"/>
    </xf>
    <xf numFmtId="0" fontId="11" fillId="0" borderId="1" xfId="1" applyNumberFormat="1" applyFont="1" applyFill="1" applyBorder="1" applyProtection="1">
      <protection locked="0"/>
    </xf>
    <xf numFmtId="0" fontId="14" fillId="0" borderId="1" xfId="1" applyNumberFormat="1" applyFont="1" applyFill="1" applyBorder="1" applyProtection="1">
      <protection locked="0"/>
    </xf>
    <xf numFmtId="0" fontId="11" fillId="0" borderId="1" xfId="1" applyNumberFormat="1" applyFont="1" applyFill="1" applyBorder="1" applyAlignment="1" applyProtection="1">
      <alignment horizontal="center"/>
      <protection locked="0"/>
    </xf>
    <xf numFmtId="0" fontId="7" fillId="0" borderId="1" xfId="1" applyNumberFormat="1" applyFont="1" applyFill="1" applyBorder="1" applyProtection="1">
      <protection locked="0"/>
    </xf>
    <xf numFmtId="0" fontId="6" fillId="0" borderId="0" xfId="1" applyNumberFormat="1" applyFont="1" applyFill="1" applyBorder="1" applyProtection="1">
      <protection locked="0"/>
    </xf>
    <xf numFmtId="0" fontId="6" fillId="0" borderId="1" xfId="0" applyNumberFormat="1" applyFont="1" applyBorder="1" applyProtection="1">
      <protection locked="0"/>
    </xf>
    <xf numFmtId="0" fontId="10" fillId="0" borderId="1" xfId="0" applyNumberFormat="1" applyFont="1" applyBorder="1" applyProtection="1">
      <protection locked="0"/>
    </xf>
    <xf numFmtId="0" fontId="16" fillId="0" borderId="1" xfId="0" applyNumberFormat="1" applyFont="1" applyBorder="1" applyProtection="1">
      <protection locked="0"/>
    </xf>
    <xf numFmtId="0" fontId="12" fillId="0" borderId="1" xfId="0" applyNumberFormat="1" applyFont="1" applyBorder="1" applyProtection="1">
      <protection locked="0"/>
    </xf>
    <xf numFmtId="0" fontId="8" fillId="0" borderId="1" xfId="0" applyNumberFormat="1" applyFont="1" applyBorder="1" applyProtection="1">
      <protection locked="0"/>
    </xf>
    <xf numFmtId="0" fontId="14" fillId="0" borderId="1" xfId="0" applyNumberFormat="1" applyFont="1" applyBorder="1" applyProtection="1">
      <protection locked="0"/>
    </xf>
    <xf numFmtId="0" fontId="11" fillId="0" borderId="1" xfId="0" applyNumberFormat="1" applyFont="1" applyBorder="1" applyAlignment="1" applyProtection="1">
      <alignment horizontal="center"/>
      <protection locked="0"/>
    </xf>
    <xf numFmtId="0" fontId="18" fillId="0" borderId="1" xfId="0" applyNumberFormat="1" applyFont="1" applyBorder="1" applyProtection="1">
      <protection locked="0"/>
    </xf>
    <xf numFmtId="0" fontId="6" fillId="0" borderId="0" xfId="0" applyNumberFormat="1" applyFont="1" applyProtection="1">
      <protection locked="0"/>
    </xf>
    <xf numFmtId="5" fontId="11" fillId="0" borderId="2" xfId="0" applyFont="1" applyBorder="1" applyProtection="1">
      <protection locked="0"/>
    </xf>
    <xf numFmtId="5" fontId="10" fillId="0" borderId="3" xfId="0" applyFont="1" applyBorder="1" applyProtection="1">
      <protection locked="0"/>
    </xf>
    <xf numFmtId="5" fontId="13" fillId="0" borderId="3" xfId="0" applyFont="1" applyBorder="1" applyAlignment="1" applyProtection="1">
      <alignment horizontal="center"/>
      <protection locked="0"/>
    </xf>
    <xf numFmtId="5" fontId="11" fillId="0" borderId="4" xfId="0" applyFont="1" applyBorder="1" applyProtection="1">
      <protection locked="0"/>
    </xf>
    <xf numFmtId="5" fontId="13" fillId="0" borderId="5" xfId="0" applyFont="1" applyBorder="1" applyAlignment="1" applyProtection="1">
      <alignment horizontal="center"/>
      <protection locked="0"/>
    </xf>
    <xf numFmtId="0" fontId="13" fillId="0" borderId="0" xfId="1" applyNumberFormat="1" applyFont="1" applyFill="1" applyBorder="1" applyAlignment="1" applyProtection="1">
      <alignment horizontal="center"/>
      <protection locked="0"/>
    </xf>
    <xf numFmtId="5" fontId="13" fillId="0" borderId="6" xfId="0" applyFont="1" applyBorder="1" applyAlignment="1" applyProtection="1">
      <alignment horizontal="center"/>
      <protection locked="0"/>
    </xf>
    <xf numFmtId="5" fontId="13" fillId="0" borderId="7" xfId="0" applyFont="1" applyBorder="1" applyAlignment="1" applyProtection="1">
      <alignment horizontal="center"/>
      <protection locked="0"/>
    </xf>
    <xf numFmtId="0" fontId="13" fillId="0" borderId="7" xfId="0" applyNumberFormat="1" applyFont="1" applyBorder="1" applyAlignment="1" applyProtection="1">
      <alignment horizontal="center"/>
      <protection locked="0"/>
    </xf>
    <xf numFmtId="0" fontId="13" fillId="0" borderId="5" xfId="0" applyNumberFormat="1" applyFont="1" applyBorder="1" applyAlignment="1" applyProtection="1">
      <alignment horizontal="center"/>
      <protection locked="0"/>
    </xf>
    <xf numFmtId="5" fontId="5" fillId="0" borderId="3" xfId="0" applyFont="1" applyBorder="1" applyProtection="1">
      <protection locked="0"/>
    </xf>
    <xf numFmtId="13" fontId="9" fillId="0" borderId="2" xfId="0" quotePrefix="1" applyNumberFormat="1" applyFont="1" applyBorder="1" applyAlignment="1" applyProtection="1">
      <alignment horizontal="center"/>
      <protection locked="0"/>
    </xf>
    <xf numFmtId="5" fontId="9" fillId="0" borderId="6" xfId="0" applyFont="1" applyBorder="1" applyAlignment="1" applyProtection="1">
      <alignment horizontal="center"/>
      <protection locked="0"/>
    </xf>
    <xf numFmtId="5" fontId="9" fillId="0" borderId="3" xfId="0" applyFont="1" applyBorder="1" applyAlignment="1" applyProtection="1">
      <alignment horizontal="center"/>
      <protection locked="0"/>
    </xf>
    <xf numFmtId="5" fontId="9" fillId="0" borderId="7" xfId="0" applyFont="1" applyBorder="1" applyAlignment="1" applyProtection="1">
      <alignment horizontal="center"/>
      <protection locked="0"/>
    </xf>
    <xf numFmtId="0" fontId="9" fillId="0" borderId="0" xfId="0" applyNumberFormat="1" applyFont="1" applyProtection="1">
      <protection locked="0"/>
    </xf>
    <xf numFmtId="0" fontId="10" fillId="0" borderId="0" xfId="1" applyNumberFormat="1" applyFont="1" applyFill="1" applyBorder="1" applyProtection="1">
      <protection locked="0"/>
    </xf>
    <xf numFmtId="0" fontId="10" fillId="0" borderId="0" xfId="0" applyNumberFormat="1" applyFont="1" applyProtection="1">
      <protection locked="0"/>
    </xf>
    <xf numFmtId="5" fontId="19" fillId="0" borderId="0" xfId="0" applyFont="1" applyProtection="1">
      <protection locked="0"/>
    </xf>
    <xf numFmtId="5" fontId="20" fillId="0" borderId="0" xfId="0" applyFont="1" applyProtection="1">
      <protection locked="0"/>
    </xf>
    <xf numFmtId="13" fontId="9" fillId="0" borderId="4" xfId="0" applyNumberFormat="1" applyFont="1" applyBorder="1" applyAlignment="1" applyProtection="1">
      <alignment horizontal="center"/>
      <protection locked="0"/>
    </xf>
    <xf numFmtId="5" fontId="9" fillId="0" borderId="5" xfId="0" applyFont="1" applyBorder="1" applyAlignment="1" applyProtection="1">
      <alignment horizontal="center"/>
      <protection locked="0"/>
    </xf>
    <xf numFmtId="5" fontId="6" fillId="0" borderId="3" xfId="0" applyFont="1" applyBorder="1" applyProtection="1">
      <protection locked="0"/>
    </xf>
    <xf numFmtId="5" fontId="10" fillId="0" borderId="2" xfId="0" applyFont="1" applyBorder="1" applyProtection="1">
      <protection locked="0"/>
    </xf>
    <xf numFmtId="5" fontId="3" fillId="0" borderId="6" xfId="0" applyFont="1" applyBorder="1" applyAlignment="1" applyProtection="1">
      <alignment horizontal="center"/>
      <protection locked="0"/>
    </xf>
    <xf numFmtId="5" fontId="4" fillId="3" borderId="1" xfId="0" applyFont="1" applyFill="1" applyBorder="1" applyProtection="1">
      <protection locked="0"/>
    </xf>
    <xf numFmtId="5" fontId="4" fillId="3" borderId="1" xfId="0" applyFont="1" applyFill="1" applyBorder="1" applyAlignment="1" applyProtection="1">
      <alignment wrapText="1"/>
      <protection locked="0"/>
    </xf>
    <xf numFmtId="5" fontId="19" fillId="4" borderId="4" xfId="0" applyFont="1" applyFill="1" applyBorder="1" applyProtection="1">
      <protection locked="0"/>
    </xf>
    <xf numFmtId="5" fontId="10" fillId="4" borderId="8" xfId="0" applyFont="1" applyFill="1" applyBorder="1" applyProtection="1">
      <protection locked="0"/>
    </xf>
    <xf numFmtId="0" fontId="10" fillId="4" borderId="8" xfId="1" applyNumberFormat="1" applyFont="1" applyFill="1" applyBorder="1" applyProtection="1">
      <protection locked="0"/>
    </xf>
    <xf numFmtId="5" fontId="9" fillId="4" borderId="8" xfId="0" applyFont="1" applyFill="1" applyBorder="1" applyProtection="1">
      <protection locked="0"/>
    </xf>
    <xf numFmtId="0" fontId="10" fillId="4" borderId="8" xfId="0" applyNumberFormat="1" applyFont="1" applyFill="1" applyBorder="1" applyProtection="1">
      <protection locked="0"/>
    </xf>
    <xf numFmtId="5" fontId="9" fillId="4" borderId="9" xfId="0" applyFont="1" applyFill="1" applyBorder="1" applyProtection="1">
      <protection locked="0"/>
    </xf>
    <xf numFmtId="5" fontId="6" fillId="4" borderId="5" xfId="0" applyFont="1" applyFill="1" applyBorder="1" applyProtection="1">
      <protection locked="0"/>
    </xf>
    <xf numFmtId="0" fontId="6" fillId="4" borderId="10" xfId="1" applyNumberFormat="1" applyFont="1" applyFill="1" applyBorder="1" applyProtection="1">
      <protection locked="0"/>
    </xf>
    <xf numFmtId="164" fontId="9" fillId="4" borderId="10" xfId="0" applyNumberFormat="1" applyFont="1" applyFill="1" applyBorder="1" applyProtection="1">
      <protection locked="0"/>
    </xf>
    <xf numFmtId="0" fontId="10" fillId="4" borderId="10" xfId="0" applyNumberFormat="1" applyFont="1" applyFill="1" applyBorder="1" applyProtection="1">
      <protection locked="0"/>
    </xf>
    <xf numFmtId="164" fontId="9" fillId="4" borderId="11" xfId="0" applyNumberFormat="1" applyFont="1" applyFill="1" applyBorder="1" applyProtection="1">
      <protection locked="0"/>
    </xf>
    <xf numFmtId="5" fontId="19" fillId="5" borderId="1" xfId="0" applyFont="1" applyFill="1" applyBorder="1" applyProtection="1">
      <protection locked="0"/>
    </xf>
    <xf numFmtId="5" fontId="19" fillId="3" borderId="7" xfId="0" applyFont="1" applyFill="1" applyBorder="1" applyProtection="1">
      <protection locked="0"/>
    </xf>
    <xf numFmtId="0" fontId="13" fillId="0" borderId="10" xfId="1" applyNumberFormat="1" applyFont="1" applyFill="1" applyBorder="1" applyAlignment="1" applyProtection="1">
      <alignment horizontal="center"/>
      <protection locked="0"/>
    </xf>
    <xf numFmtId="5" fontId="6" fillId="4" borderId="0" xfId="0" applyFont="1" applyFill="1" applyProtection="1">
      <protection locked="0"/>
    </xf>
    <xf numFmtId="37" fontId="19" fillId="0" borderId="1" xfId="0" applyNumberFormat="1" applyFont="1" applyBorder="1" applyProtection="1">
      <protection locked="0"/>
    </xf>
    <xf numFmtId="5" fontId="20" fillId="6" borderId="0" xfId="0" applyFont="1" applyFill="1" applyProtection="1">
      <protection locked="0"/>
    </xf>
    <xf numFmtId="5" fontId="6" fillId="6" borderId="0" xfId="0" applyFont="1" applyFill="1" applyProtection="1">
      <protection locked="0"/>
    </xf>
    <xf numFmtId="1" fontId="6" fillId="0" borderId="1" xfId="0" applyNumberFormat="1" applyFont="1" applyBorder="1" applyProtection="1">
      <protection locked="0"/>
    </xf>
    <xf numFmtId="0" fontId="6" fillId="6" borderId="0" xfId="1" applyNumberFormat="1" applyFont="1" applyFill="1" applyBorder="1" applyProtection="1">
      <protection locked="0"/>
    </xf>
    <xf numFmtId="5" fontId="3" fillId="7" borderId="1" xfId="0" applyFont="1" applyFill="1" applyBorder="1" applyProtection="1">
      <protection locked="0"/>
    </xf>
    <xf numFmtId="5" fontId="22" fillId="0" borderId="0" xfId="0" applyFont="1" applyAlignment="1" applyProtection="1">
      <alignment horizontal="right"/>
      <protection locked="0"/>
    </xf>
    <xf numFmtId="166" fontId="22" fillId="0" borderId="0" xfId="0" applyNumberFormat="1" applyFont="1" applyAlignment="1" applyProtection="1">
      <alignment horizontal="right"/>
      <protection locked="0"/>
    </xf>
    <xf numFmtId="9" fontId="6" fillId="0" borderId="1" xfId="0" applyNumberFormat="1" applyFont="1" applyBorder="1" applyAlignment="1" applyProtection="1">
      <alignment horizontal="center" wrapText="1"/>
      <protection locked="0"/>
    </xf>
    <xf numFmtId="9" fontId="10" fillId="0" borderId="1" xfId="0" applyNumberFormat="1" applyFont="1" applyBorder="1" applyAlignment="1" applyProtection="1">
      <alignment horizontal="center"/>
      <protection locked="0"/>
    </xf>
    <xf numFmtId="9" fontId="6" fillId="0" borderId="1" xfId="0" applyNumberFormat="1" applyFont="1" applyBorder="1" applyAlignment="1" applyProtection="1">
      <alignment horizontal="center"/>
      <protection locked="0"/>
    </xf>
    <xf numFmtId="9" fontId="16" fillId="0" borderId="1" xfId="0" applyNumberFormat="1" applyFont="1" applyBorder="1" applyAlignment="1" applyProtection="1">
      <alignment horizontal="center"/>
      <protection locked="0"/>
    </xf>
    <xf numFmtId="37" fontId="22" fillId="0" borderId="0" xfId="0" applyNumberFormat="1" applyFont="1" applyAlignment="1" applyProtection="1">
      <alignment horizontal="right"/>
      <protection locked="0"/>
    </xf>
    <xf numFmtId="2" fontId="10" fillId="0" borderId="3" xfId="1" applyNumberFormat="1" applyFont="1" applyFill="1" applyBorder="1" applyProtection="1">
      <protection locked="0"/>
    </xf>
    <xf numFmtId="2" fontId="6" fillId="0" borderId="1" xfId="1" applyNumberFormat="1" applyFont="1" applyFill="1" applyBorder="1" applyAlignment="1" applyProtection="1">
      <alignment horizontal="center"/>
      <protection locked="0"/>
    </xf>
    <xf numFmtId="0" fontId="13" fillId="0" borderId="2" xfId="1" applyNumberFormat="1" applyFont="1" applyFill="1" applyBorder="1" applyAlignment="1" applyProtection="1">
      <alignment horizontal="center"/>
      <protection locked="0"/>
    </xf>
    <xf numFmtId="0" fontId="13" fillId="0" borderId="6" xfId="1" applyNumberFormat="1" applyFont="1" applyFill="1" applyBorder="1" applyAlignment="1" applyProtection="1">
      <alignment horizontal="center"/>
      <protection locked="0"/>
    </xf>
    <xf numFmtId="0" fontId="13" fillId="0" borderId="3" xfId="1" applyNumberFormat="1" applyFont="1" applyFill="1" applyBorder="1" applyAlignment="1" applyProtection="1">
      <alignment horizontal="center"/>
      <protection locked="0"/>
    </xf>
    <xf numFmtId="5" fontId="1" fillId="0" borderId="1" xfId="0" applyFont="1" applyBorder="1" applyProtection="1">
      <protection locked="0"/>
    </xf>
    <xf numFmtId="0" fontId="1" fillId="0" borderId="1" xfId="1" applyNumberFormat="1" applyFont="1" applyFill="1" applyBorder="1" applyProtection="1">
      <protection locked="0"/>
    </xf>
    <xf numFmtId="0" fontId="1" fillId="0" borderId="1" xfId="0" applyNumberFormat="1" applyFont="1" applyBorder="1" applyProtection="1">
      <protection locked="0"/>
    </xf>
    <xf numFmtId="5" fontId="1" fillId="0" borderId="0" xfId="0" applyFont="1" applyProtection="1">
      <protection locked="0"/>
    </xf>
    <xf numFmtId="0" fontId="1" fillId="0" borderId="0" xfId="1" applyNumberFormat="1" applyFont="1" applyFill="1" applyBorder="1" applyProtection="1">
      <protection locked="0"/>
    </xf>
    <xf numFmtId="0" fontId="1" fillId="0" borderId="0" xfId="0" applyNumberFormat="1" applyFont="1" applyProtection="1">
      <protection locked="0"/>
    </xf>
    <xf numFmtId="5" fontId="0" fillId="0" borderId="0" xfId="0" applyProtection="1">
      <protection locked="0"/>
    </xf>
    <xf numFmtId="5" fontId="3" fillId="11" borderId="1" xfId="0" applyFont="1" applyFill="1" applyBorder="1" applyProtection="1">
      <protection locked="0"/>
    </xf>
    <xf numFmtId="9" fontId="24" fillId="0" borderId="1" xfId="0" applyNumberFormat="1" applyFont="1" applyBorder="1" applyAlignment="1" applyProtection="1">
      <alignment horizontal="center" wrapText="1"/>
      <protection locked="0"/>
    </xf>
    <xf numFmtId="9" fontId="24" fillId="0" borderId="1" xfId="0" applyNumberFormat="1" applyFont="1" applyBorder="1" applyAlignment="1" applyProtection="1">
      <alignment horizontal="center"/>
      <protection locked="0"/>
    </xf>
    <xf numFmtId="5" fontId="24" fillId="0" borderId="3" xfId="0" applyFont="1" applyBorder="1" applyProtection="1">
      <protection locked="0"/>
    </xf>
    <xf numFmtId="5" fontId="24" fillId="0" borderId="1" xfId="0" applyFont="1" applyBorder="1" applyProtection="1">
      <protection locked="0"/>
    </xf>
    <xf numFmtId="5" fontId="25" fillId="0" borderId="1" xfId="0" applyFont="1" applyBorder="1" applyProtection="1">
      <protection locked="0"/>
    </xf>
    <xf numFmtId="5" fontId="26" fillId="0" borderId="0" xfId="0" applyFont="1" applyProtection="1">
      <protection locked="0"/>
    </xf>
    <xf numFmtId="5" fontId="28" fillId="0" borderId="0" xfId="0" applyFont="1" applyProtection="1">
      <protection locked="0"/>
    </xf>
    <xf numFmtId="164" fontId="28" fillId="4" borderId="10" xfId="0" applyNumberFormat="1" applyFont="1" applyFill="1" applyBorder="1" applyProtection="1">
      <protection locked="0"/>
    </xf>
    <xf numFmtId="164" fontId="28" fillId="4" borderId="11" xfId="0" applyNumberFormat="1" applyFont="1" applyFill="1" applyBorder="1" applyProtection="1">
      <protection locked="0"/>
    </xf>
    <xf numFmtId="13" fontId="28" fillId="0" borderId="2" xfId="0" quotePrefix="1" applyNumberFormat="1" applyFont="1" applyBorder="1" applyAlignment="1" applyProtection="1">
      <alignment horizontal="center"/>
      <protection locked="0"/>
    </xf>
    <xf numFmtId="13" fontId="28" fillId="0" borderId="4" xfId="0" applyNumberFormat="1" applyFont="1" applyBorder="1" applyAlignment="1" applyProtection="1">
      <alignment horizontal="center"/>
      <protection locked="0"/>
    </xf>
    <xf numFmtId="5" fontId="24" fillId="8" borderId="3" xfId="0" applyFont="1" applyFill="1" applyBorder="1" applyProtection="1">
      <protection locked="0"/>
    </xf>
    <xf numFmtId="5" fontId="24" fillId="8" borderId="1" xfId="0" applyFont="1" applyFill="1" applyBorder="1" applyProtection="1">
      <protection locked="0"/>
    </xf>
    <xf numFmtId="5" fontId="24" fillId="6" borderId="1" xfId="0" applyFont="1" applyFill="1" applyBorder="1" applyProtection="1">
      <protection locked="0"/>
    </xf>
    <xf numFmtId="5" fontId="24" fillId="9" borderId="1" xfId="0" applyFont="1" applyFill="1" applyBorder="1" applyProtection="1">
      <protection locked="0"/>
    </xf>
    <xf numFmtId="5" fontId="24" fillId="10" borderId="1" xfId="0" applyFont="1" applyFill="1" applyBorder="1" applyProtection="1">
      <protection locked="0"/>
    </xf>
    <xf numFmtId="166" fontId="28" fillId="0" borderId="0" xfId="0" applyNumberFormat="1" applyFont="1" applyAlignment="1" applyProtection="1">
      <alignment horizontal="right"/>
      <protection locked="0"/>
    </xf>
    <xf numFmtId="37" fontId="28" fillId="0" borderId="0" xfId="0" applyNumberFormat="1" applyFont="1" applyAlignment="1" applyProtection="1">
      <alignment horizontal="right"/>
      <protection locked="0"/>
    </xf>
    <xf numFmtId="9" fontId="30" fillId="0" borderId="1" xfId="1" applyFont="1" applyFill="1" applyBorder="1" applyProtection="1">
      <protection locked="0"/>
    </xf>
    <xf numFmtId="5" fontId="3" fillId="0" borderId="3" xfId="0" applyFont="1" applyBorder="1" applyProtection="1">
      <protection locked="0"/>
    </xf>
    <xf numFmtId="5" fontId="4" fillId="12" borderId="1" xfId="0" applyFont="1" applyFill="1" applyBorder="1" applyAlignment="1" applyProtection="1">
      <alignment wrapText="1"/>
      <protection locked="0"/>
    </xf>
    <xf numFmtId="165" fontId="6" fillId="0" borderId="1" xfId="0" applyNumberFormat="1" applyFont="1" applyBorder="1" applyProtection="1">
      <protection locked="0"/>
    </xf>
    <xf numFmtId="5" fontId="9" fillId="0" borderId="0" xfId="0" applyFont="1"/>
    <xf numFmtId="5" fontId="9" fillId="0" borderId="0" xfId="0" applyFont="1" applyAlignment="1">
      <alignment horizontal="center" wrapText="1"/>
    </xf>
    <xf numFmtId="5" fontId="0" fillId="0" borderId="0" xfId="0" applyAlignment="1">
      <alignment horizontal="center"/>
    </xf>
    <xf numFmtId="0" fontId="9" fillId="0" borderId="0" xfId="0" applyNumberFormat="1" applyFont="1" applyAlignment="1">
      <alignment horizontal="center" wrapText="1"/>
    </xf>
    <xf numFmtId="0" fontId="0" fillId="0" borderId="0" xfId="0" applyNumberFormat="1" applyAlignment="1">
      <alignment horizontal="center"/>
    </xf>
    <xf numFmtId="0" fontId="32" fillId="0" borderId="0" xfId="11" applyNumberFormat="1" applyAlignment="1" applyProtection="1">
      <alignment horizontal="left"/>
    </xf>
    <xf numFmtId="0" fontId="1" fillId="0" borderId="0" xfId="0" applyNumberFormat="1" applyFont="1" applyAlignment="1">
      <alignment horizontal="center"/>
    </xf>
    <xf numFmtId="44" fontId="9" fillId="0" borderId="0" xfId="10" applyFont="1" applyAlignment="1">
      <alignment horizontal="center" wrapText="1"/>
    </xf>
    <xf numFmtId="44" fontId="0" fillId="0" borderId="0" xfId="10" applyFont="1" applyAlignment="1">
      <alignment horizontal="center"/>
    </xf>
    <xf numFmtId="44" fontId="0" fillId="0" borderId="0" xfId="10" applyFont="1"/>
    <xf numFmtId="0" fontId="24" fillId="0" borderId="0" xfId="0" applyNumberFormat="1" applyFont="1" applyAlignment="1">
      <alignment horizontal="center"/>
    </xf>
    <xf numFmtId="44" fontId="24" fillId="0" borderId="0" xfId="10" applyFont="1" applyAlignment="1">
      <alignment horizontal="center"/>
    </xf>
    <xf numFmtId="44" fontId="24" fillId="0" borderId="0" xfId="10" applyFont="1"/>
    <xf numFmtId="0" fontId="0" fillId="0" borderId="0" xfId="0" applyNumberFormat="1"/>
    <xf numFmtId="0" fontId="1" fillId="0" borderId="0" xfId="0" applyNumberFormat="1" applyFont="1" applyAlignment="1" applyProtection="1">
      <alignment horizontal="right"/>
      <protection locked="0"/>
    </xf>
    <xf numFmtId="0" fontId="9" fillId="0" borderId="0" xfId="0" applyNumberFormat="1" applyFont="1" applyAlignment="1" applyProtection="1">
      <alignment horizontal="right"/>
      <protection locked="0"/>
    </xf>
    <xf numFmtId="0" fontId="9" fillId="0" borderId="0" xfId="0" applyNumberFormat="1" applyFont="1"/>
    <xf numFmtId="44" fontId="9" fillId="0" borderId="0" xfId="10" applyFont="1"/>
    <xf numFmtId="5" fontId="24" fillId="0" borderId="0" xfId="0" applyFont="1"/>
    <xf numFmtId="0" fontId="24" fillId="0" borderId="0" xfId="0" applyNumberFormat="1" applyFont="1"/>
    <xf numFmtId="13" fontId="9" fillId="0" borderId="2" xfId="0" applyNumberFormat="1" applyFont="1" applyBorder="1" applyAlignment="1" applyProtection="1">
      <alignment horizontal="center"/>
      <protection locked="0"/>
    </xf>
    <xf numFmtId="5" fontId="1" fillId="0" borderId="3" xfId="0" applyFont="1" applyBorder="1" applyProtection="1">
      <protection locked="0"/>
    </xf>
    <xf numFmtId="5" fontId="36" fillId="13" borderId="0" xfId="0" applyFont="1" applyFill="1" applyProtection="1">
      <protection locked="0"/>
    </xf>
    <xf numFmtId="5" fontId="9" fillId="4" borderId="4" xfId="0" applyFont="1" applyFill="1" applyBorder="1" applyProtection="1">
      <protection locked="0"/>
    </xf>
    <xf numFmtId="5" fontId="1" fillId="4" borderId="8" xfId="0" applyFont="1" applyFill="1" applyBorder="1" applyProtection="1">
      <protection locked="0"/>
    </xf>
    <xf numFmtId="0" fontId="1" fillId="4" borderId="8" xfId="1" applyNumberFormat="1" applyFont="1" applyFill="1" applyBorder="1" applyProtection="1">
      <protection locked="0"/>
    </xf>
    <xf numFmtId="0" fontId="1" fillId="4" borderId="8" xfId="0" applyNumberFormat="1" applyFont="1" applyFill="1" applyBorder="1" applyProtection="1">
      <protection locked="0"/>
    </xf>
    <xf numFmtId="5" fontId="1" fillId="4" borderId="5" xfId="0" applyFont="1" applyFill="1" applyBorder="1" applyProtection="1">
      <protection locked="0"/>
    </xf>
    <xf numFmtId="5" fontId="1" fillId="4" borderId="0" xfId="0" applyFont="1" applyFill="1" applyProtection="1">
      <protection locked="0"/>
    </xf>
    <xf numFmtId="0" fontId="1" fillId="4" borderId="10" xfId="1" applyNumberFormat="1" applyFont="1" applyFill="1" applyBorder="1" applyProtection="1">
      <protection locked="0"/>
    </xf>
    <xf numFmtId="0" fontId="1" fillId="4" borderId="10" xfId="0" applyNumberFormat="1" applyFont="1" applyFill="1" applyBorder="1" applyProtection="1">
      <protection locked="0"/>
    </xf>
    <xf numFmtId="5" fontId="9" fillId="3" borderId="7" xfId="0" applyFont="1" applyFill="1" applyBorder="1" applyProtection="1">
      <protection locked="0"/>
    </xf>
    <xf numFmtId="5" fontId="1" fillId="0" borderId="2" xfId="0" applyFont="1" applyBorder="1" applyProtection="1">
      <protection locked="0"/>
    </xf>
    <xf numFmtId="2" fontId="1" fillId="0" borderId="1" xfId="1" applyNumberFormat="1" applyFont="1" applyFill="1" applyBorder="1" applyAlignment="1" applyProtection="1">
      <alignment horizontal="center"/>
      <protection locked="0"/>
    </xf>
    <xf numFmtId="2" fontId="1" fillId="0" borderId="3" xfId="1" applyNumberFormat="1" applyFont="1" applyFill="1" applyBorder="1" applyProtection="1">
      <protection locked="0"/>
    </xf>
    <xf numFmtId="5" fontId="1" fillId="0" borderId="1" xfId="0" applyFont="1" applyBorder="1" applyAlignment="1" applyProtection="1">
      <alignment wrapText="1"/>
      <protection locked="0"/>
    </xf>
    <xf numFmtId="9" fontId="1" fillId="0" borderId="1" xfId="0" applyNumberFormat="1" applyFont="1" applyBorder="1" applyAlignment="1" applyProtection="1">
      <alignment horizontal="center"/>
      <protection locked="0"/>
    </xf>
    <xf numFmtId="37" fontId="9" fillId="0" borderId="1" xfId="0" applyNumberFormat="1" applyFont="1" applyBorder="1" applyProtection="1">
      <protection locked="0"/>
    </xf>
    <xf numFmtId="37" fontId="9" fillId="0" borderId="0" xfId="0" applyNumberFormat="1" applyFont="1" applyAlignment="1" applyProtection="1">
      <alignment horizontal="right"/>
      <protection locked="0"/>
    </xf>
    <xf numFmtId="5" fontId="1" fillId="13" borderId="0" xfId="0" applyFont="1" applyFill="1" applyProtection="1">
      <protection locked="0"/>
    </xf>
    <xf numFmtId="5" fontId="3" fillId="13" borderId="0" xfId="0" applyFont="1" applyFill="1" applyProtection="1">
      <protection locked="0"/>
    </xf>
    <xf numFmtId="0" fontId="9" fillId="13" borderId="0" xfId="0" applyNumberFormat="1" applyFont="1" applyFill="1" applyProtection="1">
      <protection locked="0"/>
    </xf>
    <xf numFmtId="10" fontId="30" fillId="0" borderId="1" xfId="1" applyNumberFormat="1" applyFont="1" applyFill="1" applyBorder="1" applyProtection="1">
      <protection locked="0"/>
    </xf>
    <xf numFmtId="0" fontId="1" fillId="0" borderId="0" xfId="0" applyNumberFormat="1" applyFont="1"/>
    <xf numFmtId="0" fontId="9" fillId="0" borderId="0" xfId="0" applyNumberFormat="1" applyFont="1" applyAlignment="1">
      <alignment wrapText="1"/>
    </xf>
    <xf numFmtId="0" fontId="15" fillId="0" borderId="0" xfId="0" quotePrefix="1" applyNumberFormat="1" applyFont="1"/>
    <xf numFmtId="5" fontId="1" fillId="0" borderId="0" xfId="0" applyFont="1" applyAlignment="1" applyProtection="1">
      <alignment horizontal="right"/>
      <protection locked="0"/>
    </xf>
    <xf numFmtId="5" fontId="5" fillId="0" borderId="3" xfId="0" applyFont="1" applyBorder="1" applyAlignment="1">
      <alignment horizontal="center"/>
    </xf>
    <xf numFmtId="5" fontId="5" fillId="0" borderId="3" xfId="0" applyFont="1" applyBorder="1"/>
    <xf numFmtId="5" fontId="15" fillId="0" borderId="0" xfId="0" applyFont="1" applyAlignment="1" applyProtection="1">
      <alignment wrapText="1"/>
      <protection locked="0"/>
    </xf>
    <xf numFmtId="5" fontId="0" fillId="0" borderId="0" xfId="0" applyAlignment="1">
      <alignment wrapText="1"/>
    </xf>
  </cellXfs>
  <cellStyles count="12">
    <cellStyle name="Currency" xfId="10" builtinId="4"/>
    <cellStyle name="Hyperlink" xfId="11" builtinId="8"/>
    <cellStyle name="Normal" xfId="0" builtinId="0"/>
    <cellStyle name="Percent" xfId="1" builtinId="5"/>
    <cellStyle name="StyleName1" xfId="2" xr:uid="{00000000-0005-0000-0000-000004000000}"/>
    <cellStyle name="StyleName2" xfId="3" xr:uid="{00000000-0005-0000-0000-000005000000}"/>
    <cellStyle name="StyleName3" xfId="4" xr:uid="{00000000-0005-0000-0000-000006000000}"/>
    <cellStyle name="StyleName4" xfId="5" xr:uid="{00000000-0005-0000-0000-000007000000}"/>
    <cellStyle name="StyleName5" xfId="6" xr:uid="{00000000-0005-0000-0000-000008000000}"/>
    <cellStyle name="StyleName6" xfId="7" xr:uid="{00000000-0005-0000-0000-000009000000}"/>
    <cellStyle name="StyleName7" xfId="8" xr:uid="{00000000-0005-0000-0000-00000A000000}"/>
    <cellStyle name="StyleName8"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oa.louisiana.gov/osp/travel/travelpolicy/LAtravelguide2012-1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F14" sqref="F14"/>
    </sheetView>
  </sheetViews>
  <sheetFormatPr defaultColWidth="9.7109375" defaultRowHeight="12.75"/>
  <cols>
    <col min="1" max="1" width="53.28515625" style="1" customWidth="1"/>
    <col min="2" max="2" width="14.7109375" style="1" customWidth="1"/>
    <col min="3" max="3" width="7.5703125" style="1" bestFit="1" customWidth="1"/>
    <col min="4" max="4" width="11"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23.25">
      <c r="A1" s="117" t="s">
        <v>74</v>
      </c>
    </row>
    <row r="2" spans="1:15" ht="15.75">
      <c r="A2" s="63" t="s">
        <v>33</v>
      </c>
    </row>
    <row r="3" spans="1:15" ht="15.75">
      <c r="A3" s="87" t="s">
        <v>66</v>
      </c>
    </row>
    <row r="4" spans="1:15" s="3" customFormat="1">
      <c r="A4" s="62" t="s">
        <v>0</v>
      </c>
      <c r="B4" s="2"/>
      <c r="C4" s="2"/>
      <c r="D4" s="118" t="s">
        <v>121</v>
      </c>
      <c r="G4" s="59"/>
      <c r="J4" s="1"/>
      <c r="K4" s="1"/>
      <c r="L4" s="1" t="s">
        <v>60</v>
      </c>
      <c r="M4" s="92">
        <v>225700</v>
      </c>
    </row>
    <row r="5" spans="1:15" s="3" customFormat="1" ht="15.75">
      <c r="A5" s="118" t="s">
        <v>166</v>
      </c>
      <c r="B5" s="1"/>
      <c r="C5" s="1"/>
      <c r="D5" s="4"/>
      <c r="G5" s="59"/>
      <c r="J5" s="1"/>
      <c r="K5" s="1"/>
      <c r="L5" s="1" t="s">
        <v>65</v>
      </c>
      <c r="M5" s="128">
        <v>0.03</v>
      </c>
    </row>
    <row r="6" spans="1:15" s="3" customFormat="1" ht="15.75">
      <c r="A6" s="118" t="s">
        <v>32</v>
      </c>
      <c r="B6" s="1"/>
      <c r="C6" s="1"/>
      <c r="D6" s="4"/>
      <c r="G6" s="59"/>
      <c r="J6" s="1"/>
      <c r="K6" s="1"/>
      <c r="L6" s="1" t="s">
        <v>62</v>
      </c>
      <c r="M6" s="129">
        <v>12</v>
      </c>
    </row>
    <row r="7" spans="1:15" s="3" customFormat="1">
      <c r="A7" s="5"/>
      <c r="D7" s="60"/>
      <c r="G7" s="61"/>
    </row>
    <row r="8" spans="1:15" s="3" customFormat="1" ht="15.75">
      <c r="A8" s="4"/>
      <c r="D8" s="60"/>
      <c r="G8" s="61"/>
    </row>
    <row r="9" spans="1:15" ht="15" customHeight="1">
      <c r="A9" s="71" t="s">
        <v>40</v>
      </c>
      <c r="B9" s="72"/>
      <c r="C9" s="72"/>
      <c r="D9" s="73"/>
      <c r="E9" s="74" t="s">
        <v>1</v>
      </c>
      <c r="F9" s="74"/>
      <c r="G9" s="75"/>
      <c r="H9" s="76" t="s">
        <v>2</v>
      </c>
      <c r="K9" s="4"/>
    </row>
    <row r="10" spans="1:15" ht="20.100000000000001" customHeight="1">
      <c r="A10" s="77"/>
      <c r="B10" s="85"/>
      <c r="C10" s="85"/>
      <c r="D10" s="78"/>
      <c r="E10" s="119">
        <v>44896</v>
      </c>
      <c r="F10" s="79"/>
      <c r="G10" s="80"/>
      <c r="H10" s="120">
        <v>46721</v>
      </c>
    </row>
    <row r="11" spans="1:15" s="3" customFormat="1">
      <c r="A11" s="83" t="s">
        <v>3</v>
      </c>
      <c r="B11" s="44"/>
      <c r="C11" s="101"/>
      <c r="D11" s="49" t="s">
        <v>63</v>
      </c>
      <c r="E11" s="51" t="s">
        <v>4</v>
      </c>
      <c r="F11" s="51"/>
      <c r="G11" s="52" t="s">
        <v>63</v>
      </c>
      <c r="H11" s="121">
        <v>0.95652173913043481</v>
      </c>
      <c r="I11" s="121">
        <v>0.95833333333333337</v>
      </c>
      <c r="J11" s="122">
        <v>0.96</v>
      </c>
      <c r="K11" s="122">
        <v>0.96153846153846156</v>
      </c>
      <c r="L11" s="122">
        <v>0.96296296296296291</v>
      </c>
      <c r="M11" s="67"/>
    </row>
    <row r="12" spans="1:15" ht="12.75" customHeight="1">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s="3" customFormat="1" ht="12" customHeight="1">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ht="17.100000000000001" customHeight="1">
      <c r="A14" s="123" t="s">
        <v>132</v>
      </c>
      <c r="B14" s="45" t="s">
        <v>23</v>
      </c>
      <c r="C14" s="112">
        <v>0.25</v>
      </c>
      <c r="D14" s="100">
        <f>C14*$M$6</f>
        <v>3</v>
      </c>
      <c r="E14" s="114">
        <v>230000</v>
      </c>
      <c r="F14" s="112">
        <v>0.1</v>
      </c>
      <c r="G14" s="99">
        <f>F14*$M$6</f>
        <v>1.2000000000000002</v>
      </c>
      <c r="H14" s="181">
        <f>IF(E14&gt;$M$4,$M$4*(G14/12),E14*(G14/12))</f>
        <v>22570.000000000004</v>
      </c>
      <c r="I14" s="182">
        <f>H14*(1+$M$5)</f>
        <v>23247.100000000006</v>
      </c>
      <c r="J14" s="182">
        <f>I14*(1+$M$5)</f>
        <v>23944.513000000006</v>
      </c>
      <c r="K14" s="182">
        <f>J14*(1+$M$5)</f>
        <v>24662.848390000006</v>
      </c>
      <c r="L14" s="182">
        <f>K14*(1+$M$5)</f>
        <v>25402.733841700006</v>
      </c>
      <c r="M14" s="66"/>
    </row>
    <row r="15" spans="1:15" ht="26.25" customHeight="1">
      <c r="A15" s="124" t="s">
        <v>70</v>
      </c>
      <c r="B15" s="15" t="s">
        <v>26</v>
      </c>
      <c r="C15" s="112">
        <v>1</v>
      </c>
      <c r="D15" s="100">
        <f>C15*$M$6</f>
        <v>12</v>
      </c>
      <c r="E15" s="115">
        <v>45000</v>
      </c>
      <c r="F15" s="112">
        <v>0.7</v>
      </c>
      <c r="G15" s="99">
        <f t="shared" ref="G15:G24" si="0">F15*$M$6</f>
        <v>8.3999999999999986</v>
      </c>
      <c r="H15" s="54">
        <f t="shared" ref="H15:H24" si="1">IF(E15&gt;$M$4,$M$4*(G15/12),E15*(G15/12))</f>
        <v>31499.999999999993</v>
      </c>
      <c r="I15" s="54">
        <f>H15*(1+$M$5)</f>
        <v>32444.999999999993</v>
      </c>
      <c r="J15" s="54">
        <f t="shared" ref="J15:K24" si="2">I15*(1+$M$5)</f>
        <v>33418.349999999991</v>
      </c>
      <c r="K15" s="54">
        <f t="shared" si="2"/>
        <v>34420.900499999989</v>
      </c>
      <c r="L15" s="54">
        <f t="shared" ref="L15:L24" si="3">K15*(1+$M$5)</f>
        <v>35453.527514999987</v>
      </c>
      <c r="M15" s="11"/>
      <c r="O15" s="1" t="s">
        <v>25</v>
      </c>
    </row>
    <row r="16" spans="1:15" ht="25.5">
      <c r="A16" s="124" t="s">
        <v>122</v>
      </c>
      <c r="B16" s="15" t="s">
        <v>26</v>
      </c>
      <c r="C16" s="112">
        <v>1</v>
      </c>
      <c r="D16" s="100">
        <f t="shared" ref="D16:D24" si="4">C16*$M$6</f>
        <v>12</v>
      </c>
      <c r="E16" s="115">
        <v>33000</v>
      </c>
      <c r="F16" s="112">
        <v>1</v>
      </c>
      <c r="G16" s="99">
        <f t="shared" si="0"/>
        <v>12</v>
      </c>
      <c r="H16" s="54">
        <f t="shared" si="1"/>
        <v>33000</v>
      </c>
      <c r="I16" s="54">
        <f t="shared" ref="I16:I24" si="5">H16*(1+$M$5)</f>
        <v>33990</v>
      </c>
      <c r="J16" s="54">
        <f t="shared" si="2"/>
        <v>35009.700000000004</v>
      </c>
      <c r="K16" s="54">
        <f t="shared" si="2"/>
        <v>36059.991000000002</v>
      </c>
      <c r="L16" s="54">
        <f t="shared" si="3"/>
        <v>37141.790730000001</v>
      </c>
      <c r="M16" s="11"/>
    </row>
    <row r="17" spans="1:15" ht="17.100000000000001" customHeight="1">
      <c r="A17" s="124" t="s">
        <v>27</v>
      </c>
      <c r="B17" s="9" t="s">
        <v>29</v>
      </c>
      <c r="C17" s="113">
        <v>1</v>
      </c>
      <c r="D17" s="100">
        <f t="shared" si="4"/>
        <v>12</v>
      </c>
      <c r="E17" s="115">
        <v>47476</v>
      </c>
      <c r="F17" s="113">
        <v>1</v>
      </c>
      <c r="G17" s="99">
        <f t="shared" si="0"/>
        <v>12</v>
      </c>
      <c r="H17" s="54">
        <f t="shared" si="1"/>
        <v>47476</v>
      </c>
      <c r="I17" s="54">
        <f t="shared" si="5"/>
        <v>48900.28</v>
      </c>
      <c r="J17" s="54">
        <f t="shared" si="2"/>
        <v>50367.288399999998</v>
      </c>
      <c r="K17" s="54">
        <f t="shared" si="2"/>
        <v>51878.307051999996</v>
      </c>
      <c r="L17" s="54">
        <f t="shared" si="3"/>
        <v>53434.656263559998</v>
      </c>
      <c r="M17" s="11"/>
    </row>
    <row r="18" spans="1:15" ht="17.100000000000001" customHeight="1">
      <c r="A18" s="124" t="s">
        <v>27</v>
      </c>
      <c r="B18" s="9" t="s">
        <v>29</v>
      </c>
      <c r="C18" s="113">
        <v>1</v>
      </c>
      <c r="D18" s="100">
        <f t="shared" si="4"/>
        <v>12</v>
      </c>
      <c r="E18" s="115">
        <v>47476</v>
      </c>
      <c r="F18" s="113">
        <v>1</v>
      </c>
      <c r="G18" s="99">
        <f t="shared" si="0"/>
        <v>12</v>
      </c>
      <c r="H18" s="54">
        <f t="shared" si="1"/>
        <v>47476</v>
      </c>
      <c r="I18" s="54">
        <f t="shared" si="5"/>
        <v>48900.28</v>
      </c>
      <c r="J18" s="54">
        <f t="shared" si="2"/>
        <v>50367.288399999998</v>
      </c>
      <c r="K18" s="54">
        <f t="shared" si="2"/>
        <v>51878.307051999996</v>
      </c>
      <c r="L18" s="54">
        <f t="shared" si="3"/>
        <v>53434.656263559998</v>
      </c>
      <c r="M18" s="11"/>
    </row>
    <row r="19" spans="1:15" ht="17.100000000000001" customHeight="1">
      <c r="A19" s="125" t="s">
        <v>123</v>
      </c>
      <c r="B19" s="104" t="s">
        <v>134</v>
      </c>
      <c r="C19" s="113">
        <v>0.5</v>
      </c>
      <c r="D19" s="100">
        <f t="shared" si="4"/>
        <v>6</v>
      </c>
      <c r="E19" s="115">
        <v>24000</v>
      </c>
      <c r="F19" s="113">
        <v>0.5</v>
      </c>
      <c r="G19" s="99">
        <f t="shared" si="0"/>
        <v>6</v>
      </c>
      <c r="H19" s="54">
        <f t="shared" si="1"/>
        <v>12000</v>
      </c>
      <c r="I19" s="54">
        <f t="shared" si="5"/>
        <v>12360</v>
      </c>
      <c r="J19" s="54">
        <f t="shared" si="2"/>
        <v>12730.800000000001</v>
      </c>
      <c r="K19" s="54">
        <f t="shared" si="2"/>
        <v>13112.724000000002</v>
      </c>
      <c r="L19" s="54">
        <f t="shared" si="3"/>
        <v>13506.105720000003</v>
      </c>
      <c r="M19" s="11"/>
    </row>
    <row r="20" spans="1:15" ht="17.100000000000001" customHeight="1">
      <c r="A20" s="125" t="s">
        <v>124</v>
      </c>
      <c r="B20" s="104" t="s">
        <v>134</v>
      </c>
      <c r="C20" s="113">
        <v>0.5</v>
      </c>
      <c r="D20" s="100">
        <f t="shared" si="4"/>
        <v>6</v>
      </c>
      <c r="E20" s="115">
        <v>24000</v>
      </c>
      <c r="F20" s="113">
        <v>0.5</v>
      </c>
      <c r="G20" s="99">
        <f t="shared" si="0"/>
        <v>6</v>
      </c>
      <c r="H20" s="54">
        <f>IF(E20&gt;$M$4,$M$4*(G20/12),E20*(G20/12))</f>
        <v>12000</v>
      </c>
      <c r="I20" s="54">
        <f t="shared" si="5"/>
        <v>12360</v>
      </c>
      <c r="J20" s="54">
        <f t="shared" si="2"/>
        <v>12730.800000000001</v>
      </c>
      <c r="K20" s="54">
        <f t="shared" si="2"/>
        <v>13112.724000000002</v>
      </c>
      <c r="L20" s="54">
        <f t="shared" si="3"/>
        <v>13506.105720000003</v>
      </c>
      <c r="M20" s="11"/>
    </row>
    <row r="21" spans="1:15" ht="17.100000000000001" customHeight="1">
      <c r="A21" s="126" t="s">
        <v>125</v>
      </c>
      <c r="B21" s="11" t="s">
        <v>67</v>
      </c>
      <c r="C21" s="113">
        <v>0.5</v>
      </c>
      <c r="D21" s="100">
        <f t="shared" si="4"/>
        <v>6</v>
      </c>
      <c r="E21" s="115">
        <v>17000</v>
      </c>
      <c r="F21" s="113">
        <v>0.5</v>
      </c>
      <c r="G21" s="99">
        <f t="shared" si="0"/>
        <v>6</v>
      </c>
      <c r="H21" s="54">
        <f t="shared" si="1"/>
        <v>8500</v>
      </c>
      <c r="I21" s="54">
        <f t="shared" si="5"/>
        <v>8755</v>
      </c>
      <c r="J21" s="54">
        <f t="shared" si="2"/>
        <v>9017.65</v>
      </c>
      <c r="K21" s="54">
        <f t="shared" si="2"/>
        <v>9288.1795000000002</v>
      </c>
      <c r="L21" s="54">
        <f t="shared" si="3"/>
        <v>9566.824885</v>
      </c>
      <c r="M21" s="11"/>
    </row>
    <row r="22" spans="1:15" ht="17.100000000000001" customHeight="1">
      <c r="A22" s="126" t="s">
        <v>126</v>
      </c>
      <c r="B22" s="11" t="s">
        <v>67</v>
      </c>
      <c r="C22" s="113">
        <v>0.5</v>
      </c>
      <c r="D22" s="100">
        <f t="shared" si="4"/>
        <v>6</v>
      </c>
      <c r="E22" s="115">
        <v>17000</v>
      </c>
      <c r="F22" s="113">
        <v>0.5</v>
      </c>
      <c r="G22" s="99">
        <f t="shared" si="0"/>
        <v>6</v>
      </c>
      <c r="H22" s="54">
        <f>IF(E22&gt;$M$4,$M$4*(G22/12),E22*(G22/12))</f>
        <v>8500</v>
      </c>
      <c r="I22" s="54">
        <f t="shared" si="5"/>
        <v>8755</v>
      </c>
      <c r="J22" s="54">
        <f t="shared" si="2"/>
        <v>9017.65</v>
      </c>
      <c r="K22" s="54">
        <f t="shared" si="2"/>
        <v>9288.1795000000002</v>
      </c>
      <c r="L22" s="54">
        <f t="shared" si="3"/>
        <v>9566.824885</v>
      </c>
      <c r="M22" s="11"/>
    </row>
    <row r="23" spans="1:15" ht="17.100000000000001" customHeight="1">
      <c r="A23" s="127" t="s">
        <v>127</v>
      </c>
      <c r="B23" s="11" t="s">
        <v>31</v>
      </c>
      <c r="C23" s="113">
        <v>1</v>
      </c>
      <c r="D23" s="100">
        <f t="shared" si="4"/>
        <v>12</v>
      </c>
      <c r="E23" s="115">
        <v>27000</v>
      </c>
      <c r="F23" s="113">
        <v>1</v>
      </c>
      <c r="G23" s="99">
        <f t="shared" si="0"/>
        <v>12</v>
      </c>
      <c r="H23" s="54">
        <f t="shared" si="1"/>
        <v>27000</v>
      </c>
      <c r="I23" s="54">
        <f t="shared" si="5"/>
        <v>27810</v>
      </c>
      <c r="J23" s="54">
        <f t="shared" si="2"/>
        <v>28644.3</v>
      </c>
      <c r="K23" s="54">
        <f t="shared" si="2"/>
        <v>29503.629000000001</v>
      </c>
      <c r="L23" s="54">
        <f t="shared" si="3"/>
        <v>30388.737870000001</v>
      </c>
      <c r="M23" s="11"/>
    </row>
    <row r="24" spans="1:15" ht="17.100000000000001" customHeight="1">
      <c r="A24" s="127" t="s">
        <v>128</v>
      </c>
      <c r="B24" s="11" t="s">
        <v>31</v>
      </c>
      <c r="C24" s="113">
        <v>1</v>
      </c>
      <c r="D24" s="100">
        <f t="shared" si="4"/>
        <v>12</v>
      </c>
      <c r="E24" s="115">
        <v>27000</v>
      </c>
      <c r="F24" s="113">
        <v>1</v>
      </c>
      <c r="G24" s="99">
        <f t="shared" si="0"/>
        <v>12</v>
      </c>
      <c r="H24" s="54">
        <f t="shared" si="1"/>
        <v>27000</v>
      </c>
      <c r="I24" s="54">
        <f t="shared" si="5"/>
        <v>27810</v>
      </c>
      <c r="J24" s="54">
        <f t="shared" si="2"/>
        <v>28644.3</v>
      </c>
      <c r="K24" s="54">
        <f t="shared" si="2"/>
        <v>29503.629000000001</v>
      </c>
      <c r="L24" s="54">
        <f t="shared" si="3"/>
        <v>30388.737870000001</v>
      </c>
      <c r="M24" s="11"/>
    </row>
    <row r="25" spans="1:15" ht="17.100000000000001" customHeight="1">
      <c r="A25" s="16" t="s">
        <v>133</v>
      </c>
      <c r="B25" s="17"/>
      <c r="C25" s="97"/>
      <c r="D25" s="29"/>
      <c r="E25" s="17"/>
      <c r="F25" s="17"/>
      <c r="G25" s="37"/>
      <c r="H25" s="14"/>
      <c r="I25" s="11" t="s">
        <v>25</v>
      </c>
      <c r="J25" s="11"/>
      <c r="K25" s="11"/>
      <c r="L25" s="11"/>
      <c r="M25" s="11"/>
    </row>
    <row r="26" spans="1:15" ht="17.100000000000001" customHeight="1">
      <c r="A26" s="11"/>
      <c r="B26" s="11"/>
      <c r="C26" s="11"/>
      <c r="D26" s="26"/>
      <c r="E26" s="11"/>
      <c r="F26" s="11"/>
      <c r="G26" s="35"/>
      <c r="H26" s="14"/>
      <c r="I26" s="11"/>
      <c r="J26" s="11"/>
      <c r="K26" s="11"/>
      <c r="L26" s="11"/>
      <c r="M26" s="11"/>
    </row>
    <row r="27" spans="1:15" ht="17.100000000000001" customHeight="1">
      <c r="A27" s="69" t="s">
        <v>18</v>
      </c>
      <c r="B27" s="11"/>
      <c r="C27" s="11"/>
      <c r="D27" s="26"/>
      <c r="E27" s="11"/>
      <c r="F27" s="11"/>
      <c r="G27" s="35"/>
      <c r="H27" s="10">
        <f>SUM(H14:H26)</f>
        <v>277022</v>
      </c>
      <c r="I27" s="10">
        <f>SUM(I14:I26)</f>
        <v>285332.66000000003</v>
      </c>
      <c r="J27" s="10">
        <f>SUM(J14:J26)</f>
        <v>293892.63979999995</v>
      </c>
      <c r="K27" s="10">
        <f>SUM(K14:K26)</f>
        <v>302709.41899400001</v>
      </c>
      <c r="L27" s="10">
        <f>SUM(L14:L26)</f>
        <v>311790.70156382001</v>
      </c>
      <c r="M27" s="10">
        <f>SUM(H27:L27)</f>
        <v>1470747.4203578199</v>
      </c>
    </row>
    <row r="28" spans="1:15" ht="24" customHeight="1">
      <c r="A28" s="70" t="s">
        <v>173</v>
      </c>
      <c r="B28" s="12"/>
      <c r="C28" s="12"/>
      <c r="D28" s="30"/>
      <c r="E28" s="12"/>
      <c r="F28" s="12"/>
      <c r="G28" s="38"/>
      <c r="H28" s="10">
        <f>ROUND(((H14+H15+H16+H17+H18)*38%)+((H19+H20)*0.6%)+((H21+H22)*4.2%)+((H23+H24)*15%), 0)</f>
        <v>78126</v>
      </c>
      <c r="I28" s="10">
        <f t="shared" ref="I28:L28" si="6">ROUND(((I14+I15+I16+I17+I18)*41%)+((I19+I20)*0.6%)+((I21+I22)*4.4%)+((I23+I24)*9%), 0)</f>
        <v>82792</v>
      </c>
      <c r="J28" s="10">
        <f t="shared" si="6"/>
        <v>85276</v>
      </c>
      <c r="K28" s="10">
        <f t="shared" si="6"/>
        <v>87835</v>
      </c>
      <c r="L28" s="10">
        <f t="shared" si="6"/>
        <v>90470</v>
      </c>
      <c r="M28" s="10">
        <f>SUM(H28:L28)</f>
        <v>424499</v>
      </c>
      <c r="O28" s="1" t="s">
        <v>25</v>
      </c>
    </row>
    <row r="29" spans="1:15" ht="23.25" customHeight="1">
      <c r="A29" s="70" t="s">
        <v>78</v>
      </c>
      <c r="B29" s="11"/>
      <c r="C29" s="11"/>
      <c r="D29" s="26"/>
      <c r="E29" s="11" t="s">
        <v>28</v>
      </c>
      <c r="F29" s="11"/>
      <c r="G29" s="35"/>
      <c r="H29" s="10"/>
      <c r="I29" s="10"/>
      <c r="J29" s="10"/>
      <c r="K29" s="10"/>
      <c r="L29" s="10"/>
      <c r="M29" s="10"/>
      <c r="O29" s="1" t="s">
        <v>25</v>
      </c>
    </row>
    <row r="30" spans="1:15" ht="23.25" customHeight="1">
      <c r="A30" s="115" t="s">
        <v>111</v>
      </c>
      <c r="B30" s="11"/>
      <c r="C30" s="11"/>
      <c r="D30" s="26"/>
      <c r="E30" s="11"/>
      <c r="F30" s="11"/>
      <c r="G30" s="35"/>
      <c r="H30" s="10">
        <f>Supplies!$D$7</f>
        <v>3500</v>
      </c>
      <c r="I30" s="131">
        <f>H30*(1+$M$5)</f>
        <v>3605</v>
      </c>
      <c r="J30" s="131">
        <f>I30*(1+$M$5)</f>
        <v>3713.15</v>
      </c>
      <c r="K30" s="131">
        <f>J30*(1+$M$5)</f>
        <v>3824.5445</v>
      </c>
      <c r="L30" s="131">
        <f>K30*(1+$M$5)</f>
        <v>3939.280835</v>
      </c>
      <c r="M30" s="10">
        <f>SUM(H30:L30)</f>
        <v>18581.975334999999</v>
      </c>
    </row>
    <row r="31" spans="1:15" ht="23.25" customHeight="1">
      <c r="A31" s="132" t="s">
        <v>75</v>
      </c>
      <c r="B31" s="11"/>
      <c r="C31" s="11"/>
      <c r="D31" s="26"/>
      <c r="E31" s="11"/>
      <c r="F31" s="11"/>
      <c r="G31" s="35"/>
      <c r="H31" s="10"/>
      <c r="I31" s="131"/>
      <c r="J31" s="131"/>
      <c r="K31" s="131"/>
      <c r="L31" s="131"/>
      <c r="M31" s="10"/>
    </row>
    <row r="32" spans="1:15" ht="23.25" customHeight="1">
      <c r="A32" s="115" t="s">
        <v>116</v>
      </c>
      <c r="B32" s="11"/>
      <c r="C32" s="11"/>
      <c r="D32" s="26"/>
      <c r="E32" s="11"/>
      <c r="F32" s="11"/>
      <c r="G32" s="35"/>
      <c r="H32" s="10">
        <f>Consultants!$F$2</f>
        <v>13000</v>
      </c>
      <c r="I32" s="131">
        <f>H32*(1+$M$5)</f>
        <v>13390</v>
      </c>
      <c r="J32" s="131">
        <f>I32*(1+$M$5)</f>
        <v>13791.7</v>
      </c>
      <c r="K32" s="131">
        <f>J32*(1+$M$5)</f>
        <v>14205.451000000001</v>
      </c>
      <c r="L32" s="131">
        <f>K32*(1+$M$5)</f>
        <v>14631.614530000001</v>
      </c>
      <c r="M32" s="10">
        <f>SUM(H32:L32)</f>
        <v>69018.765530000004</v>
      </c>
    </row>
    <row r="33" spans="1:20" ht="23.25" customHeight="1">
      <c r="A33" s="132" t="s">
        <v>76</v>
      </c>
      <c r="B33" s="11"/>
      <c r="C33" s="11"/>
      <c r="D33" s="26"/>
      <c r="E33" s="11"/>
      <c r="F33" s="11"/>
      <c r="G33" s="35"/>
      <c r="H33" s="10"/>
      <c r="I33" s="131"/>
      <c r="J33" s="131"/>
      <c r="K33" s="131"/>
      <c r="L33" s="131"/>
      <c r="M33" s="10"/>
    </row>
    <row r="34" spans="1:20" ht="23.25" customHeight="1">
      <c r="A34" s="115" t="s">
        <v>79</v>
      </c>
      <c r="B34" s="11"/>
      <c r="C34" s="11"/>
      <c r="D34" s="26"/>
      <c r="E34" s="11"/>
      <c r="F34" s="11"/>
      <c r="G34" s="35"/>
      <c r="H34" s="10">
        <f>Travel!$J$5</f>
        <v>2080</v>
      </c>
      <c r="I34" s="131">
        <f>H34*(1+$M$5)</f>
        <v>2142.4</v>
      </c>
      <c r="J34" s="131">
        <f>I34*(1+$M$5)</f>
        <v>2206.672</v>
      </c>
      <c r="K34" s="131">
        <f>J34*(1+$M$5)</f>
        <v>2272.8721599999999</v>
      </c>
      <c r="L34" s="131">
        <f>K34*(1+$M$5)</f>
        <v>2341.0583247999998</v>
      </c>
      <c r="M34" s="10">
        <f>SUM(H34:L34)</f>
        <v>11043.002484799999</v>
      </c>
    </row>
    <row r="35" spans="1:20" ht="23.25" customHeight="1">
      <c r="A35" s="132" t="s">
        <v>77</v>
      </c>
      <c r="B35" s="11"/>
      <c r="C35" s="11"/>
      <c r="D35" s="26"/>
      <c r="E35" s="11"/>
      <c r="F35" s="11"/>
      <c r="G35" s="35"/>
      <c r="H35" s="10"/>
      <c r="I35" s="131"/>
      <c r="J35" s="131"/>
      <c r="K35" s="131"/>
      <c r="L35" s="131"/>
      <c r="M35" s="10"/>
    </row>
    <row r="36" spans="1:20" ht="13.15" customHeight="1">
      <c r="A36" s="115" t="s">
        <v>112</v>
      </c>
      <c r="B36" s="11"/>
      <c r="C36" s="11"/>
      <c r="D36" s="26"/>
      <c r="E36" s="11"/>
      <c r="F36" s="11"/>
      <c r="G36" s="35"/>
      <c r="H36" s="10">
        <f>'Other Expenses'!$D$7</f>
        <v>18500</v>
      </c>
      <c r="I36" s="131">
        <f>H36*(1+$M$5)</f>
        <v>19055</v>
      </c>
      <c r="J36" s="131">
        <f>I36*(1+$M$5)</f>
        <v>19626.650000000001</v>
      </c>
      <c r="K36" s="131">
        <f>J36*(1+$M$5)</f>
        <v>20215.449500000002</v>
      </c>
      <c r="L36" s="131">
        <f>K36*(1+$M$5)</f>
        <v>20821.912985000003</v>
      </c>
      <c r="M36" s="10">
        <f>SUM(H36:L36)</f>
        <v>98219.012485000014</v>
      </c>
      <c r="O36" s="1" t="s">
        <v>25</v>
      </c>
    </row>
    <row r="37" spans="1:20" s="3" customFormat="1" ht="20.100000000000001" customHeight="1">
      <c r="A37" s="69" t="s">
        <v>141</v>
      </c>
      <c r="B37" s="11"/>
      <c r="C37" s="11"/>
      <c r="D37" s="26"/>
      <c r="E37" s="11"/>
      <c r="F37" s="11"/>
      <c r="G37" s="35"/>
      <c r="H37" s="10"/>
      <c r="I37" s="10"/>
      <c r="J37" s="10"/>
      <c r="K37" s="10"/>
      <c r="L37" s="10"/>
      <c r="M37" s="10"/>
      <c r="N37" s="1"/>
      <c r="O37" s="5"/>
      <c r="P37" s="5"/>
      <c r="Q37" s="5"/>
      <c r="R37" s="5"/>
      <c r="S37" s="5"/>
      <c r="T37" s="5"/>
    </row>
    <row r="38" spans="1:20" s="3" customFormat="1" ht="20.100000000000001" customHeight="1">
      <c r="A38" s="115" t="s">
        <v>142</v>
      </c>
      <c r="B38" s="18"/>
      <c r="C38" s="18"/>
      <c r="D38" s="31"/>
      <c r="E38" s="13"/>
      <c r="F38" s="13"/>
      <c r="G38" s="40"/>
      <c r="H38" s="116">
        <f>30*25</f>
        <v>750</v>
      </c>
      <c r="I38" s="116">
        <f>30*25</f>
        <v>750</v>
      </c>
      <c r="J38" s="116">
        <f>30*25</f>
        <v>750</v>
      </c>
      <c r="K38" s="116">
        <f>30*25</f>
        <v>750</v>
      </c>
      <c r="L38" s="116">
        <f>30*25</f>
        <v>750</v>
      </c>
      <c r="M38" s="10">
        <f>SUM(H38:L38)</f>
        <v>3750</v>
      </c>
      <c r="N38" s="1"/>
      <c r="O38" s="5"/>
      <c r="P38" s="5"/>
      <c r="Q38" s="5"/>
      <c r="R38" s="5"/>
      <c r="S38" s="5"/>
      <c r="T38" s="5"/>
    </row>
    <row r="39" spans="1:20" s="3" customFormat="1" ht="20.100000000000001" customHeight="1">
      <c r="A39" s="69" t="s">
        <v>44</v>
      </c>
      <c r="B39" s="6"/>
      <c r="C39" s="6"/>
      <c r="D39" s="27"/>
      <c r="E39" s="7"/>
      <c r="F39" s="7"/>
      <c r="G39" s="39"/>
      <c r="H39" s="10"/>
      <c r="I39" s="10"/>
      <c r="J39" s="10"/>
      <c r="K39" s="10"/>
      <c r="L39" s="10"/>
      <c r="M39" s="10"/>
      <c r="N39" s="1"/>
      <c r="O39" s="5" t="s">
        <v>25</v>
      </c>
      <c r="P39" s="5"/>
      <c r="Q39" s="5"/>
      <c r="R39" s="5"/>
      <c r="S39" s="5"/>
      <c r="T39" s="5"/>
    </row>
    <row r="40" spans="1:20" s="3" customFormat="1" ht="13.15" customHeight="1">
      <c r="A40" s="115" t="s">
        <v>30</v>
      </c>
      <c r="B40" s="9"/>
      <c r="C40" s="9"/>
      <c r="D40" s="28"/>
      <c r="E40" s="9"/>
      <c r="F40" s="9"/>
      <c r="G40" s="36"/>
      <c r="H40" s="116">
        <v>20000</v>
      </c>
      <c r="I40" s="116">
        <v>0</v>
      </c>
      <c r="J40" s="116">
        <v>0</v>
      </c>
      <c r="K40" s="116">
        <v>0</v>
      </c>
      <c r="L40" s="116">
        <v>0</v>
      </c>
      <c r="M40" s="10">
        <f>SUM(H40:L40)</f>
        <v>20000</v>
      </c>
      <c r="N40" s="1"/>
      <c r="O40" s="5" t="s">
        <v>25</v>
      </c>
      <c r="P40" s="5"/>
      <c r="Q40" s="5"/>
      <c r="R40" s="5"/>
      <c r="S40" s="5"/>
      <c r="T40" s="5"/>
    </row>
    <row r="41" spans="1:20" ht="13.15" customHeight="1">
      <c r="A41" s="69" t="s">
        <v>45</v>
      </c>
      <c r="B41" s="11"/>
      <c r="C41" s="11"/>
      <c r="D41" s="26"/>
      <c r="E41" s="11"/>
      <c r="F41" s="11"/>
      <c r="G41" s="35"/>
      <c r="H41" s="10"/>
      <c r="I41" s="10"/>
      <c r="J41" s="10"/>
      <c r="K41" s="10"/>
      <c r="L41" s="10"/>
      <c r="M41" s="10"/>
      <c r="O41" s="1" t="s">
        <v>25</v>
      </c>
    </row>
    <row r="42" spans="1:20" ht="20.100000000000001" customHeight="1">
      <c r="A42" s="115" t="s">
        <v>68</v>
      </c>
      <c r="B42" s="18"/>
      <c r="C42" s="18"/>
      <c r="D42" s="31"/>
      <c r="E42" s="13"/>
      <c r="F42" s="13"/>
      <c r="G42" s="40"/>
      <c r="H42" s="116">
        <f>30*15</f>
        <v>450</v>
      </c>
      <c r="I42" s="116">
        <f>30*15</f>
        <v>450</v>
      </c>
      <c r="J42" s="116">
        <f>30*15</f>
        <v>450</v>
      </c>
      <c r="K42" s="116">
        <f>30*15</f>
        <v>450</v>
      </c>
      <c r="L42" s="116">
        <f>30*15</f>
        <v>450</v>
      </c>
      <c r="M42" s="10">
        <f>SUM(H42:L42)</f>
        <v>2250</v>
      </c>
    </row>
    <row r="43" spans="1:20" ht="13.15" customHeight="1">
      <c r="A43" s="69" t="s">
        <v>46</v>
      </c>
      <c r="B43" s="11"/>
      <c r="C43" s="11"/>
      <c r="D43" s="26"/>
      <c r="E43" s="11"/>
      <c r="F43" s="11"/>
      <c r="G43" s="35"/>
      <c r="H43" s="10"/>
      <c r="I43" s="10"/>
      <c r="J43" s="10"/>
      <c r="K43" s="10"/>
      <c r="L43" s="10"/>
      <c r="M43" s="10"/>
      <c r="O43" s="1" t="s">
        <v>25</v>
      </c>
    </row>
    <row r="44" spans="1:20" ht="20.100000000000001" customHeight="1">
      <c r="A44" s="115" t="s">
        <v>64</v>
      </c>
      <c r="B44" s="18"/>
      <c r="C44" s="18"/>
      <c r="D44" s="31"/>
      <c r="E44" s="13"/>
      <c r="F44" s="13"/>
      <c r="G44" s="40"/>
      <c r="H44" s="116">
        <f>200*40</f>
        <v>8000</v>
      </c>
      <c r="I44" s="116">
        <v>0</v>
      </c>
      <c r="J44" s="116">
        <v>0</v>
      </c>
      <c r="K44" s="116">
        <v>0</v>
      </c>
      <c r="L44" s="116">
        <v>0</v>
      </c>
      <c r="M44" s="10">
        <f>SUM(H44:L44)</f>
        <v>8000</v>
      </c>
    </row>
    <row r="45" spans="1:20" ht="13.15" customHeight="1">
      <c r="A45" s="69" t="s">
        <v>47</v>
      </c>
      <c r="B45" s="11"/>
      <c r="C45" s="11"/>
      <c r="D45" s="26"/>
      <c r="E45" s="11"/>
      <c r="F45" s="11"/>
      <c r="G45" s="35"/>
      <c r="H45" s="10"/>
      <c r="I45" s="10"/>
      <c r="J45" s="10"/>
      <c r="K45" s="10"/>
      <c r="L45" s="10"/>
      <c r="M45" s="10"/>
      <c r="O45" s="1" t="s">
        <v>25</v>
      </c>
    </row>
    <row r="46" spans="1:20" ht="20.100000000000001" customHeight="1">
      <c r="A46" s="115" t="s">
        <v>69</v>
      </c>
      <c r="B46" s="18"/>
      <c r="C46" s="18"/>
      <c r="D46" s="31"/>
      <c r="E46" s="13"/>
      <c r="F46" s="13"/>
      <c r="G46" s="40"/>
      <c r="H46" s="116">
        <f>2*2425</f>
        <v>4850</v>
      </c>
      <c r="I46" s="116">
        <f>2*2425</f>
        <v>4850</v>
      </c>
      <c r="J46" s="116">
        <f>2*2425</f>
        <v>4850</v>
      </c>
      <c r="K46" s="116">
        <f>2*2425</f>
        <v>4850</v>
      </c>
      <c r="L46" s="116">
        <f>2*2425</f>
        <v>4850</v>
      </c>
      <c r="M46" s="10">
        <f>SUM(H46:L46)</f>
        <v>24250</v>
      </c>
    </row>
    <row r="47" spans="1:20" ht="14.1" customHeight="1">
      <c r="A47" s="69" t="s">
        <v>42</v>
      </c>
      <c r="B47" s="19" t="s">
        <v>20</v>
      </c>
      <c r="C47" s="19"/>
      <c r="D47" s="32" t="s">
        <v>21</v>
      </c>
      <c r="E47" s="19" t="s">
        <v>41</v>
      </c>
      <c r="F47" s="19"/>
      <c r="G47" s="41" t="s">
        <v>17</v>
      </c>
      <c r="H47" s="10"/>
      <c r="I47" s="10"/>
      <c r="J47" s="10"/>
      <c r="K47" s="10"/>
      <c r="L47" s="10"/>
      <c r="M47" s="10"/>
      <c r="O47" s="1" t="s">
        <v>25</v>
      </c>
    </row>
    <row r="48" spans="1:20" ht="20.100000000000001" customHeight="1">
      <c r="A48" s="115" t="s">
        <v>170</v>
      </c>
      <c r="B48" s="20">
        <f>SubGrantee1!$H$44</f>
        <v>7499.0000000000009</v>
      </c>
      <c r="C48" s="20"/>
      <c r="D48" s="24">
        <f>SubGrantee1!$D$45</f>
        <v>0.4</v>
      </c>
      <c r="E48" s="20">
        <f>SubGrantee1!H45</f>
        <v>3000</v>
      </c>
      <c r="F48" s="20"/>
      <c r="G48" s="89">
        <f>B48+E48</f>
        <v>10499</v>
      </c>
      <c r="H48" s="21">
        <f>IF(G48&gt;25000,25000,+G48)</f>
        <v>10499</v>
      </c>
      <c r="I48" s="10">
        <f>SubGrantee1!I44</f>
        <v>7723.5000000000009</v>
      </c>
      <c r="J48" s="10">
        <f>SubGrantee1!J44</f>
        <v>7955.5350000000017</v>
      </c>
      <c r="K48" s="10">
        <f>SubGrantee1!K44</f>
        <v>8194.2710500000012</v>
      </c>
      <c r="L48" s="10">
        <f>SubGrantee1!L44</f>
        <v>8439.8791815000022</v>
      </c>
      <c r="M48" s="10"/>
    </row>
    <row r="49" spans="1:15" ht="20.100000000000001" customHeight="1">
      <c r="A49" s="115" t="s">
        <v>171</v>
      </c>
      <c r="B49" s="20">
        <f>SubGrantee2!$H$44</f>
        <v>8803.0000000000018</v>
      </c>
      <c r="C49" s="20"/>
      <c r="D49" s="24">
        <f>SubGrantee2!$D$45</f>
        <v>0.3</v>
      </c>
      <c r="E49" s="20">
        <f>SubGrantee2!H45</f>
        <v>2641</v>
      </c>
      <c r="F49" s="20"/>
      <c r="G49" s="35">
        <f>B49+E49</f>
        <v>11444.000000000002</v>
      </c>
      <c r="H49" s="21">
        <f>IF(G49&gt;25000,25000,+G49)</f>
        <v>11444.000000000002</v>
      </c>
      <c r="I49" s="10">
        <f>SubGrantee2!I44</f>
        <v>9066.5000000000018</v>
      </c>
      <c r="J49" s="10">
        <f>SubGrantee2!J44</f>
        <v>9338.5250000000015</v>
      </c>
      <c r="K49" s="10">
        <f>SubGrantee2!K44</f>
        <v>9618.2707500000015</v>
      </c>
      <c r="L49" s="10">
        <f>SubGrantee2!L44</f>
        <v>9906.9388725000008</v>
      </c>
      <c r="M49" s="10"/>
    </row>
    <row r="50" spans="1:15" ht="20.100000000000001" customHeight="1">
      <c r="A50" s="69" t="s">
        <v>34</v>
      </c>
      <c r="B50" s="18"/>
      <c r="C50" s="18"/>
      <c r="D50" s="31"/>
      <c r="E50" s="13"/>
      <c r="F50" s="13"/>
      <c r="G50" s="40"/>
      <c r="H50" s="10">
        <f>B48+B49</f>
        <v>16302.000000000004</v>
      </c>
      <c r="I50" s="10">
        <f>SUM(I48:I49)</f>
        <v>16790.000000000004</v>
      </c>
      <c r="J50" s="10">
        <f>SUM(J48:J49)</f>
        <v>17294.060000000005</v>
      </c>
      <c r="K50" s="10">
        <f>SUM(K48:K49)</f>
        <v>17812.541800000003</v>
      </c>
      <c r="L50" s="10">
        <f>SUM(L48:L49)</f>
        <v>18346.818054000003</v>
      </c>
      <c r="M50" s="10">
        <f t="shared" ref="M50:M55" si="7">SUM(H50:L50)</f>
        <v>86545.419854000022</v>
      </c>
    </row>
    <row r="51" spans="1:15" ht="20.100000000000001" customHeight="1">
      <c r="A51" s="69" t="s">
        <v>24</v>
      </c>
      <c r="B51" s="8"/>
      <c r="C51" s="8"/>
      <c r="D51" s="33"/>
      <c r="E51" s="7"/>
      <c r="F51" s="7"/>
      <c r="G51" s="39"/>
      <c r="H51" s="111">
        <f>H27+H28+H34+H32+H30+H36+H40+H38+H42+H44+H46+H50</f>
        <v>442580</v>
      </c>
      <c r="I51" s="111">
        <f>I27+I28+I34+I32+I30+I36+I40+I38+I42+I44+I46+I50</f>
        <v>429157.06000000006</v>
      </c>
      <c r="J51" s="111">
        <f>J27+J28+J34+J32+J30+J36+J40+J38+J42+J44+J46+J50</f>
        <v>441850.87180000002</v>
      </c>
      <c r="K51" s="111">
        <f>K27+K28+K34+K32+K30+K36+K40+K38+K42+K44+K46+K50</f>
        <v>454925.27795400005</v>
      </c>
      <c r="L51" s="111">
        <f>L27+L28+L34+L32+L30+L36+L40+L38+L42+L44+L46+L50</f>
        <v>468391.38629261998</v>
      </c>
      <c r="M51" s="111">
        <f t="shared" si="7"/>
        <v>2236904.59604662</v>
      </c>
      <c r="O51" s="1" t="s">
        <v>25</v>
      </c>
    </row>
    <row r="52" spans="1:15" ht="25.5" customHeight="1">
      <c r="A52" s="70" t="s">
        <v>35</v>
      </c>
      <c r="B52" s="8"/>
      <c r="C52" s="8"/>
      <c r="D52" s="33"/>
      <c r="E52" s="7"/>
      <c r="F52" s="7"/>
      <c r="G52" s="39"/>
      <c r="H52" s="10">
        <f>E48+E49</f>
        <v>5641</v>
      </c>
      <c r="I52" s="10">
        <f>SubGrantee1!I45+SubGrantee2!I45</f>
        <v>5809</v>
      </c>
      <c r="J52" s="10">
        <f>SubGrantee1!J45+SubGrantee2!J45</f>
        <v>5984</v>
      </c>
      <c r="K52" s="10">
        <f>SubGrantee1!K45+SubGrantee2!K45</f>
        <v>6163</v>
      </c>
      <c r="L52" s="10">
        <f>SubGrantee1!L45+SubGrantee2!L45</f>
        <v>6348</v>
      </c>
      <c r="M52" s="10">
        <f t="shared" si="7"/>
        <v>29945</v>
      </c>
    </row>
    <row r="53" spans="1:15" ht="20.100000000000001" customHeight="1">
      <c r="A53" s="69" t="s">
        <v>37</v>
      </c>
      <c r="B53" s="8"/>
      <c r="C53" s="8"/>
      <c r="D53" s="33"/>
      <c r="E53" s="7"/>
      <c r="F53" s="7"/>
      <c r="G53" s="39"/>
      <c r="H53" s="91">
        <f>H51+H52</f>
        <v>448221</v>
      </c>
      <c r="I53" s="10">
        <f>I51+I52</f>
        <v>434966.06000000006</v>
      </c>
      <c r="J53" s="10">
        <f>J51+J52</f>
        <v>447834.87180000002</v>
      </c>
      <c r="K53" s="10">
        <f>K51+K52</f>
        <v>461088.27795400005</v>
      </c>
      <c r="L53" s="10">
        <f>L51+L52</f>
        <v>474739.38629261998</v>
      </c>
      <c r="M53" s="91">
        <f t="shared" si="7"/>
        <v>2266849.59604662</v>
      </c>
    </row>
    <row r="54" spans="1:15" ht="20.100000000000001" customHeight="1">
      <c r="A54" s="69" t="s">
        <v>169</v>
      </c>
      <c r="B54" s="86" t="s">
        <v>50</v>
      </c>
      <c r="C54" s="86"/>
      <c r="D54" s="176">
        <v>0.5</v>
      </c>
      <c r="E54" s="22"/>
      <c r="F54" s="22"/>
      <c r="G54" s="42"/>
      <c r="H54" s="91">
        <f>ROUND($D$54*H56,0)</f>
        <v>207086</v>
      </c>
      <c r="I54" s="10">
        <f>ROUND($D$54*I56,0)</f>
        <v>214458</v>
      </c>
      <c r="J54" s="10">
        <f>ROUND($D$54*J56,0)</f>
        <v>211982</v>
      </c>
      <c r="K54" s="10">
        <f>ROUND($D$54*K56,0)</f>
        <v>215531</v>
      </c>
      <c r="L54" s="10">
        <f>ROUND($D$54*L56,0)</f>
        <v>221997</v>
      </c>
      <c r="M54" s="91">
        <f t="shared" si="7"/>
        <v>1071054</v>
      </c>
    </row>
    <row r="55" spans="1:15" ht="20.100000000000001" customHeight="1">
      <c r="A55" s="69" t="s">
        <v>38</v>
      </c>
      <c r="B55" s="8"/>
      <c r="C55" s="8"/>
      <c r="D55" s="33"/>
      <c r="E55" s="7"/>
      <c r="F55" s="7"/>
      <c r="G55" s="39"/>
      <c r="H55" s="91">
        <f>H53+H54</f>
        <v>655307</v>
      </c>
      <c r="I55" s="10">
        <f>I53+I54</f>
        <v>649424.06000000006</v>
      </c>
      <c r="J55" s="10">
        <f>J53+J54</f>
        <v>659816.87180000008</v>
      </c>
      <c r="K55" s="10">
        <f>K53+K54</f>
        <v>676619.27795400005</v>
      </c>
      <c r="L55" s="10">
        <f>L53+L54</f>
        <v>696736.38629261998</v>
      </c>
      <c r="M55" s="91">
        <f t="shared" si="7"/>
        <v>3337903.5960466205</v>
      </c>
    </row>
    <row r="56" spans="1:15" ht="20.100000000000001" customHeight="1">
      <c r="A56" s="69" t="s">
        <v>49</v>
      </c>
      <c r="B56" s="11"/>
      <c r="C56" s="11"/>
      <c r="D56" s="26"/>
      <c r="E56" s="11"/>
      <c r="F56" s="11"/>
      <c r="G56" s="35"/>
      <c r="H56" s="23">
        <f>H27+H28+H30+H32+H34+H36+SUM(H58:H59)</f>
        <v>414171</v>
      </c>
      <c r="I56" s="23">
        <f>I27+I28+I30+I32+I34+I36+SUM(I58:I59)</f>
        <v>428916.06000000006</v>
      </c>
      <c r="J56" s="23">
        <f>J27+J28+J30+J32+J34+J36+SUM(J58:J59)</f>
        <v>423964.81180000002</v>
      </c>
      <c r="K56" s="23">
        <f>K27+K28+K30+K32+K34+K36+SUM(K58:K59)</f>
        <v>431062.73615400004</v>
      </c>
      <c r="L56" s="23">
        <f>L27+L28+L30+L32+L34+L36+SUM(L58:L59)</f>
        <v>443994.56823862001</v>
      </c>
      <c r="M56" s="11"/>
    </row>
    <row r="57" spans="1:15" ht="12" customHeight="1">
      <c r="A57" s="82" t="s">
        <v>22</v>
      </c>
      <c r="B57" s="11"/>
      <c r="C57" s="11"/>
      <c r="D57" s="26"/>
      <c r="E57" s="11"/>
      <c r="F57" s="11"/>
      <c r="G57" s="35"/>
      <c r="H57" s="133">
        <f>SUM(H48:H56)</f>
        <v>2211251</v>
      </c>
      <c r="I57" s="11"/>
      <c r="J57" s="11"/>
      <c r="K57" s="11"/>
      <c r="L57" s="11"/>
      <c r="M57" s="104"/>
    </row>
    <row r="58" spans="1:15" s="107" customFormat="1" ht="12.75" customHeight="1">
      <c r="A58" s="104" t="str">
        <f>A48</f>
        <v>Subgrantee1 (Please add name of subgrantee 1)</v>
      </c>
      <c r="B58" s="104"/>
      <c r="C58" s="104"/>
      <c r="D58" s="105"/>
      <c r="E58" s="104" t="s">
        <v>25</v>
      </c>
      <c r="F58" s="104"/>
      <c r="G58" s="106"/>
      <c r="H58" s="10">
        <f>IF(H65&gt;25000,25000,H65)</f>
        <v>10499</v>
      </c>
      <c r="I58" s="10">
        <f>IF((H65+I65)&gt;=25000,25000-H58,I65)</f>
        <v>10812.5</v>
      </c>
      <c r="J58" s="10">
        <f>IF(($H$65+$I$65+$J$65)&gt;=25000,25000-I58-H58,J65)</f>
        <v>3688.5</v>
      </c>
      <c r="K58" s="10">
        <f>IF(($H$65+$I$65+$J$65+$K$65)&gt;=25000,25000-J58-I58-H58,K65)</f>
        <v>0</v>
      </c>
      <c r="L58" s="10">
        <f>IF(($H$65+$I$65+$J$65+$K$65+$L$65)&gt;=25000,25000-K58-J58-I58-H58,L65)</f>
        <v>0</v>
      </c>
      <c r="M58" s="10">
        <f>SUM(H58:L58)</f>
        <v>25000</v>
      </c>
    </row>
    <row r="59" spans="1:15" s="107" customFormat="1" ht="15" customHeight="1">
      <c r="A59" s="104" t="str">
        <f>A49</f>
        <v>Subgrantee2 (Please add name of subgrantee 2)</v>
      </c>
      <c r="B59" s="104"/>
      <c r="C59" s="104"/>
      <c r="D59" s="105"/>
      <c r="E59" s="104"/>
      <c r="F59" s="104"/>
      <c r="G59" s="106"/>
      <c r="H59" s="10">
        <f>IF(H66&gt;25000,25000,H66)</f>
        <v>11444.000000000002</v>
      </c>
      <c r="I59" s="10">
        <f>IF((H66+I66)&gt;=25000,25000-H59,I66)</f>
        <v>11786.500000000002</v>
      </c>
      <c r="J59" s="10">
        <f>IF(($H$66+$I$66+$J$66)&gt;=25000,25000-I59-H59,J66)</f>
        <v>1769.4999999999964</v>
      </c>
      <c r="K59" s="10">
        <f>IF(($H$66+$I$66+$J$66+$K$66)&gt;=25000,25000-J59-I59-H59,K66)</f>
        <v>0</v>
      </c>
      <c r="L59" s="10">
        <f>IF(($H$66+$I$66+$J$66+$K$66+$L$66)&gt;=25000,25000-K59-J59-I59-H59,L66)</f>
        <v>0</v>
      </c>
      <c r="M59" s="10">
        <f>SUM(H59:L59)</f>
        <v>25000</v>
      </c>
    </row>
    <row r="60" spans="1:15" s="107" customFormat="1">
      <c r="A60" s="183" t="s">
        <v>172</v>
      </c>
      <c r="B60" s="184"/>
      <c r="C60" s="184"/>
      <c r="D60" s="184"/>
      <c r="E60" s="184"/>
      <c r="F60" s="184"/>
      <c r="G60" s="184"/>
      <c r="H60" s="184"/>
      <c r="I60" s="184"/>
      <c r="J60" s="184"/>
      <c r="K60" s="184"/>
      <c r="L60" s="184"/>
      <c r="M60" s="184"/>
    </row>
    <row r="61" spans="1:15" s="107" customFormat="1" ht="12" customHeight="1">
      <c r="A61" s="184"/>
      <c r="B61" s="184"/>
      <c r="C61" s="184"/>
      <c r="D61" s="184"/>
      <c r="E61" s="184"/>
      <c r="F61" s="184"/>
      <c r="G61" s="184"/>
      <c r="H61" s="184"/>
      <c r="I61" s="184"/>
      <c r="J61" s="184"/>
      <c r="K61" s="184"/>
      <c r="L61" s="184"/>
      <c r="M61" s="184"/>
    </row>
    <row r="62" spans="1:15" s="107" customFormat="1" hidden="1">
      <c r="A62" s="184"/>
      <c r="B62" s="184"/>
      <c r="C62" s="184"/>
      <c r="D62" s="184"/>
      <c r="E62" s="184"/>
      <c r="F62" s="184"/>
      <c r="G62" s="184"/>
      <c r="H62" s="184"/>
      <c r="I62" s="184"/>
      <c r="J62" s="184"/>
      <c r="K62" s="184"/>
      <c r="L62" s="184"/>
      <c r="M62" s="184"/>
    </row>
    <row r="63" spans="1:15" s="107" customFormat="1" hidden="1">
      <c r="A63" s="184"/>
      <c r="B63" s="184"/>
      <c r="C63" s="184"/>
      <c r="D63" s="184"/>
      <c r="E63" s="184"/>
      <c r="F63" s="184"/>
      <c r="G63" s="184"/>
      <c r="H63" s="184"/>
      <c r="I63" s="184"/>
      <c r="J63" s="184"/>
      <c r="K63" s="184"/>
      <c r="L63" s="184"/>
      <c r="M63" s="184"/>
    </row>
    <row r="64" spans="1:15" s="107" customFormat="1">
      <c r="A64" s="107" t="s">
        <v>71</v>
      </c>
      <c r="D64" s="108"/>
      <c r="G64" s="109"/>
    </row>
    <row r="65" spans="1:12" s="107" customFormat="1">
      <c r="A65" s="110"/>
      <c r="B65" s="107" t="str">
        <f>$A$48</f>
        <v>Subgrantee1 (Please add name of subgrantee 1)</v>
      </c>
      <c r="D65" s="108"/>
      <c r="G65" s="109"/>
      <c r="H65" s="107">
        <f>SubGrantee1!H46</f>
        <v>10499</v>
      </c>
      <c r="I65" s="107">
        <f>SubGrantee1!I46</f>
        <v>10812.5</v>
      </c>
      <c r="J65" s="107">
        <f>SubGrantee1!J46</f>
        <v>11137.535000000002</v>
      </c>
      <c r="K65" s="107">
        <f>SubGrantee1!K46</f>
        <v>11472.271050000001</v>
      </c>
      <c r="L65" s="107">
        <f>SubGrantee1!L46</f>
        <v>11815.879181500002</v>
      </c>
    </row>
    <row r="66" spans="1:12" s="107" customFormat="1">
      <c r="B66" s="110" t="str">
        <f>$A$49</f>
        <v>Subgrantee2 (Please add name of subgrantee 2)</v>
      </c>
      <c r="D66" s="108"/>
      <c r="G66" s="109"/>
      <c r="H66" s="107">
        <f>SubGrantee2!H46</f>
        <v>11444.000000000002</v>
      </c>
      <c r="I66" s="107">
        <f>SubGrantee2!I46</f>
        <v>11786.500000000002</v>
      </c>
      <c r="J66" s="107">
        <f>SubGrantee2!J46</f>
        <v>12140.525000000001</v>
      </c>
      <c r="K66" s="107">
        <f>SubGrantee2!K46</f>
        <v>12503.270750000001</v>
      </c>
      <c r="L66" s="107">
        <f>SubGrantee2!L46</f>
        <v>12878.938872500001</v>
      </c>
    </row>
    <row r="70" spans="1:12">
      <c r="D70" s="108"/>
      <c r="E70" s="107"/>
      <c r="F70" s="107"/>
      <c r="G70" s="148" t="s">
        <v>106</v>
      </c>
      <c r="H70" s="107">
        <v>499999</v>
      </c>
      <c r="I70" s="107">
        <v>499999</v>
      </c>
      <c r="J70" s="107">
        <v>499999</v>
      </c>
      <c r="K70" s="107">
        <v>499999</v>
      </c>
      <c r="L70" s="107">
        <v>499999</v>
      </c>
    </row>
    <row r="71" spans="1:12">
      <c r="D71" s="108"/>
      <c r="E71" s="107"/>
      <c r="F71" s="107"/>
      <c r="G71" s="148" t="s">
        <v>100</v>
      </c>
      <c r="H71" s="107">
        <f>H51</f>
        <v>442580</v>
      </c>
      <c r="I71" s="107">
        <f>I51</f>
        <v>429157.06000000006</v>
      </c>
      <c r="J71" s="107">
        <f>J51</f>
        <v>441850.87180000002</v>
      </c>
      <c r="K71" s="107">
        <f>K51</f>
        <v>454925.27795400005</v>
      </c>
      <c r="L71" s="107">
        <f>L51</f>
        <v>468391.38629261998</v>
      </c>
    </row>
    <row r="72" spans="1:12">
      <c r="D72" s="108"/>
      <c r="E72" s="107"/>
      <c r="F72" s="107"/>
      <c r="G72" s="149" t="s">
        <v>107</v>
      </c>
      <c r="H72" s="5">
        <f>H70-H71</f>
        <v>57419</v>
      </c>
      <c r="I72" s="5">
        <f>I70-I71</f>
        <v>70841.939999999944</v>
      </c>
      <c r="J72" s="5">
        <f>J70-J71</f>
        <v>58148.128199999977</v>
      </c>
      <c r="K72" s="5">
        <f>K70-K71</f>
        <v>45073.722045999952</v>
      </c>
      <c r="L72" s="5">
        <f>L70-L71</f>
        <v>31607.61370738002</v>
      </c>
    </row>
  </sheetData>
  <mergeCells count="1">
    <mergeCell ref="A60:M63"/>
  </mergeCells>
  <phoneticPr fontId="11" type="noConversion"/>
  <pageMargins left="0" right="0" top="0" bottom="0" header="0.5" footer="0.5"/>
  <pageSetup scale="52" orientation="landscape" cellComments="asDisplayed" r:id="rId1"/>
  <headerFooter alignWithMargins="0"/>
  <colBreaks count="1" manualBreakCount="1">
    <brk id="13" max="1048575" man="1"/>
  </colBreaks>
  <ignoredErrors>
    <ignoredError sqref="M54:M55 H55:L55 A58:A59 H58:M59 H65:L66 D14:D24 G15:L24 H27:M27 G14" unlockedFormula="1"/>
    <ignoredError sqref="I54:L54" formula="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72"/>
  <sheetViews>
    <sheetView view="pageBreakPreview" zoomScale="90" zoomScaleNormal="100" zoomScaleSheetLayoutView="90" workbookViewId="0">
      <selection activeCell="H14" sqref="H14"/>
    </sheetView>
  </sheetViews>
  <sheetFormatPr defaultColWidth="9.7109375" defaultRowHeight="12.75"/>
  <cols>
    <col min="1" max="1" width="53.28515625" style="107" customWidth="1"/>
    <col min="2" max="2" width="14.7109375" style="107" customWidth="1"/>
    <col min="3" max="3" width="7.5703125" style="107" bestFit="1" customWidth="1"/>
    <col min="4" max="4" width="8.7109375" style="108" customWidth="1"/>
    <col min="5" max="5" width="13.5703125" style="107" customWidth="1"/>
    <col min="6" max="6" width="7.7109375" style="107" bestFit="1" customWidth="1"/>
    <col min="7" max="7" width="9.28515625" style="109" bestFit="1" customWidth="1"/>
    <col min="8" max="13" width="16.7109375" style="107" customWidth="1"/>
    <col min="14" max="14" width="1.7109375" style="107" customWidth="1"/>
    <col min="15" max="15" width="19.28515625" style="107" customWidth="1"/>
    <col min="16" max="20" width="10.28515625" style="107" bestFit="1" customWidth="1"/>
    <col min="21" max="16384" width="9.7109375" style="107"/>
  </cols>
  <sheetData>
    <row r="1" spans="1:15" ht="23.25">
      <c r="A1" s="117" t="s">
        <v>74</v>
      </c>
    </row>
    <row r="2" spans="1:15" ht="15.75">
      <c r="A2" s="63" t="s">
        <v>33</v>
      </c>
    </row>
    <row r="3" spans="1:15" ht="15.75">
      <c r="A3" s="87" t="s">
        <v>66</v>
      </c>
    </row>
    <row r="4" spans="1:15">
      <c r="A4" s="62" t="s">
        <v>0</v>
      </c>
      <c r="D4" s="118" t="s">
        <v>121</v>
      </c>
      <c r="G4" s="59"/>
      <c r="L4" s="107" t="s">
        <v>60</v>
      </c>
      <c r="M4" s="92">
        <v>225700</v>
      </c>
    </row>
    <row r="5" spans="1:15" ht="15.75">
      <c r="A5" s="118" t="s">
        <v>166</v>
      </c>
      <c r="D5" s="4"/>
      <c r="G5" s="59"/>
      <c r="L5" s="107" t="s">
        <v>65</v>
      </c>
      <c r="M5" s="128">
        <v>0.03</v>
      </c>
    </row>
    <row r="6" spans="1:15" ht="20.25">
      <c r="A6" s="156" t="s">
        <v>140</v>
      </c>
      <c r="B6" s="173"/>
      <c r="C6" s="173"/>
      <c r="D6" s="174"/>
      <c r="E6" s="173"/>
      <c r="F6" s="173"/>
      <c r="G6" s="175"/>
      <c r="H6" s="173"/>
      <c r="I6" s="173"/>
      <c r="J6" s="173"/>
      <c r="K6" s="173"/>
      <c r="L6" s="107" t="s">
        <v>62</v>
      </c>
      <c r="M6" s="172">
        <v>12</v>
      </c>
    </row>
    <row r="7" spans="1:15">
      <c r="A7" s="5"/>
    </row>
    <row r="8" spans="1:15" ht="15.75">
      <c r="A8" s="4"/>
    </row>
    <row r="9" spans="1:15" ht="15.75">
      <c r="A9" s="157" t="s">
        <v>40</v>
      </c>
      <c r="B9" s="158"/>
      <c r="C9" s="158"/>
      <c r="D9" s="159"/>
      <c r="E9" s="74" t="s">
        <v>1</v>
      </c>
      <c r="F9" s="74"/>
      <c r="G9" s="160"/>
      <c r="H9" s="76" t="s">
        <v>2</v>
      </c>
      <c r="K9" s="4"/>
    </row>
    <row r="10" spans="1:15">
      <c r="A10" s="161"/>
      <c r="B10" s="162"/>
      <c r="C10" s="162"/>
      <c r="D10" s="163"/>
      <c r="E10" s="119">
        <v>44531</v>
      </c>
      <c r="F10" s="79"/>
      <c r="G10" s="164"/>
      <c r="H10" s="120">
        <v>46356</v>
      </c>
    </row>
    <row r="11" spans="1:15">
      <c r="A11" s="165" t="s">
        <v>3</v>
      </c>
      <c r="B11" s="44"/>
      <c r="C11" s="101"/>
      <c r="D11" s="49" t="s">
        <v>63</v>
      </c>
      <c r="E11" s="51" t="s">
        <v>4</v>
      </c>
      <c r="F11" s="51"/>
      <c r="G11" s="52" t="s">
        <v>63</v>
      </c>
      <c r="H11" s="121">
        <v>0.95454545454545459</v>
      </c>
      <c r="I11" s="121">
        <v>0.95652173913043481</v>
      </c>
      <c r="J11" s="121">
        <v>0.95833333333333337</v>
      </c>
      <c r="K11" s="122">
        <v>0.96</v>
      </c>
      <c r="L11" s="122">
        <v>0.96153846153846156</v>
      </c>
      <c r="M11" s="166"/>
    </row>
    <row r="12" spans="1:15" ht="15.75">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ht="15">
      <c r="A14" s="123" t="s">
        <v>132</v>
      </c>
      <c r="B14" s="155" t="s">
        <v>23</v>
      </c>
      <c r="C14" s="112">
        <v>0.25</v>
      </c>
      <c r="D14" s="167">
        <f>C14*$M$6</f>
        <v>3</v>
      </c>
      <c r="E14" s="114">
        <v>230000</v>
      </c>
      <c r="F14" s="112">
        <v>0.1</v>
      </c>
      <c r="G14" s="168">
        <f>F14*$M$6</f>
        <v>1.2000000000000002</v>
      </c>
      <c r="H14" s="54">
        <f>IF(E14&gt;$M$4,$M$4*(D14/12),E14*(D14/12))-IF(E14&gt;$M$4,$M$4*(G14/12),E14*(G14/12))</f>
        <v>33855</v>
      </c>
      <c r="I14" s="54">
        <v>33855</v>
      </c>
      <c r="J14" s="54">
        <v>33855</v>
      </c>
      <c r="K14" s="54">
        <v>33855</v>
      </c>
      <c r="L14" s="54">
        <v>33855</v>
      </c>
      <c r="M14" s="155"/>
    </row>
    <row r="15" spans="1:15" ht="25.5">
      <c r="A15" s="124" t="s">
        <v>70</v>
      </c>
      <c r="B15" s="169" t="s">
        <v>26</v>
      </c>
      <c r="C15" s="112">
        <v>1</v>
      </c>
      <c r="D15" s="167">
        <f>C15*$M$6</f>
        <v>12</v>
      </c>
      <c r="E15" s="115">
        <v>45000</v>
      </c>
      <c r="F15" s="112">
        <v>0.7</v>
      </c>
      <c r="G15" s="168">
        <f t="shared" ref="G15:G24" si="0">F15*$M$6</f>
        <v>8.3999999999999986</v>
      </c>
      <c r="H15" s="54">
        <f t="shared" ref="H15:H24" si="1">IF(E15&gt;$M$4,$M$4*(D15/12),E15*(D15/12))-IF(E15&gt;$M$4,$M$4*(G15/12),E15*(G15/12))</f>
        <v>13500.000000000007</v>
      </c>
      <c r="I15" s="54">
        <f>H15*(1+$M$5)</f>
        <v>13905.000000000007</v>
      </c>
      <c r="J15" s="54">
        <f t="shared" ref="J15:L24" si="2">I15*(1+$M$5)</f>
        <v>14322.150000000009</v>
      </c>
      <c r="K15" s="54">
        <f t="shared" si="2"/>
        <v>14751.81450000001</v>
      </c>
      <c r="L15" s="54">
        <f t="shared" si="2"/>
        <v>15194.36893500001</v>
      </c>
      <c r="M15" s="104"/>
      <c r="O15" s="107" t="s">
        <v>25</v>
      </c>
    </row>
    <row r="16" spans="1:15" ht="25.5">
      <c r="A16" s="124" t="s">
        <v>122</v>
      </c>
      <c r="B16" s="169" t="s">
        <v>26</v>
      </c>
      <c r="C16" s="112">
        <v>1</v>
      </c>
      <c r="D16" s="167">
        <f t="shared" ref="D16:D24" si="3">C16*$M$6</f>
        <v>12</v>
      </c>
      <c r="E16" s="115">
        <v>33000</v>
      </c>
      <c r="F16" s="112">
        <v>1</v>
      </c>
      <c r="G16" s="168">
        <f t="shared" si="0"/>
        <v>12</v>
      </c>
      <c r="H16" s="54">
        <f t="shared" si="1"/>
        <v>0</v>
      </c>
      <c r="I16" s="54">
        <f t="shared" ref="I16:I24" si="4">H16*(1+$M$5)</f>
        <v>0</v>
      </c>
      <c r="J16" s="54">
        <f t="shared" si="2"/>
        <v>0</v>
      </c>
      <c r="K16" s="54">
        <f t="shared" si="2"/>
        <v>0</v>
      </c>
      <c r="L16" s="54">
        <f t="shared" si="2"/>
        <v>0</v>
      </c>
      <c r="M16" s="104"/>
    </row>
    <row r="17" spans="1:15" ht="15">
      <c r="A17" s="124" t="s">
        <v>27</v>
      </c>
      <c r="B17" s="104" t="s">
        <v>29</v>
      </c>
      <c r="C17" s="113">
        <v>1</v>
      </c>
      <c r="D17" s="167">
        <f t="shared" si="3"/>
        <v>12</v>
      </c>
      <c r="E17" s="115">
        <v>37000</v>
      </c>
      <c r="F17" s="113">
        <v>1</v>
      </c>
      <c r="G17" s="168">
        <f t="shared" si="0"/>
        <v>12</v>
      </c>
      <c r="H17" s="54">
        <f t="shared" si="1"/>
        <v>0</v>
      </c>
      <c r="I17" s="54">
        <f t="shared" si="4"/>
        <v>0</v>
      </c>
      <c r="J17" s="54">
        <f t="shared" si="2"/>
        <v>0</v>
      </c>
      <c r="K17" s="54">
        <f t="shared" si="2"/>
        <v>0</v>
      </c>
      <c r="L17" s="54">
        <f t="shared" si="2"/>
        <v>0</v>
      </c>
      <c r="M17" s="104"/>
    </row>
    <row r="18" spans="1:15" ht="15">
      <c r="A18" s="124" t="s">
        <v>27</v>
      </c>
      <c r="B18" s="104" t="s">
        <v>29</v>
      </c>
      <c r="C18" s="113">
        <v>1</v>
      </c>
      <c r="D18" s="167">
        <f t="shared" si="3"/>
        <v>12</v>
      </c>
      <c r="E18" s="115">
        <v>37000</v>
      </c>
      <c r="F18" s="113">
        <v>1</v>
      </c>
      <c r="G18" s="168">
        <f t="shared" si="0"/>
        <v>12</v>
      </c>
      <c r="H18" s="54">
        <f t="shared" si="1"/>
        <v>0</v>
      </c>
      <c r="I18" s="54">
        <f t="shared" si="4"/>
        <v>0</v>
      </c>
      <c r="J18" s="54">
        <f t="shared" si="2"/>
        <v>0</v>
      </c>
      <c r="K18" s="54">
        <f t="shared" si="2"/>
        <v>0</v>
      </c>
      <c r="L18" s="54">
        <f t="shared" si="2"/>
        <v>0</v>
      </c>
      <c r="M18" s="104"/>
    </row>
    <row r="19" spans="1:15" ht="15">
      <c r="A19" s="125" t="s">
        <v>123</v>
      </c>
      <c r="B19" s="104" t="s">
        <v>134</v>
      </c>
      <c r="C19" s="113">
        <v>0.5</v>
      </c>
      <c r="D19" s="167">
        <f t="shared" si="3"/>
        <v>6</v>
      </c>
      <c r="E19" s="115">
        <v>22000</v>
      </c>
      <c r="F19" s="113">
        <v>0.5</v>
      </c>
      <c r="G19" s="168">
        <f t="shared" si="0"/>
        <v>6</v>
      </c>
      <c r="H19" s="54">
        <f t="shared" si="1"/>
        <v>0</v>
      </c>
      <c r="I19" s="54">
        <f t="shared" si="4"/>
        <v>0</v>
      </c>
      <c r="J19" s="54">
        <f t="shared" si="2"/>
        <v>0</v>
      </c>
      <c r="K19" s="54">
        <f t="shared" si="2"/>
        <v>0</v>
      </c>
      <c r="L19" s="54">
        <f t="shared" si="2"/>
        <v>0</v>
      </c>
      <c r="M19" s="104"/>
    </row>
    <row r="20" spans="1:15" ht="15">
      <c r="A20" s="125" t="s">
        <v>124</v>
      </c>
      <c r="B20" s="104" t="s">
        <v>134</v>
      </c>
      <c r="C20" s="113">
        <v>0.5</v>
      </c>
      <c r="D20" s="167">
        <f t="shared" si="3"/>
        <v>6</v>
      </c>
      <c r="E20" s="115">
        <v>22000</v>
      </c>
      <c r="F20" s="113">
        <v>0.5</v>
      </c>
      <c r="G20" s="168">
        <f t="shared" si="0"/>
        <v>6</v>
      </c>
      <c r="H20" s="54">
        <f t="shared" si="1"/>
        <v>0</v>
      </c>
      <c r="I20" s="54">
        <f t="shared" si="4"/>
        <v>0</v>
      </c>
      <c r="J20" s="54">
        <f t="shared" si="2"/>
        <v>0</v>
      </c>
      <c r="K20" s="54">
        <f t="shared" si="2"/>
        <v>0</v>
      </c>
      <c r="L20" s="54">
        <f t="shared" si="2"/>
        <v>0</v>
      </c>
      <c r="M20" s="104"/>
    </row>
    <row r="21" spans="1:15" ht="15">
      <c r="A21" s="126" t="s">
        <v>125</v>
      </c>
      <c r="B21" s="104" t="s">
        <v>67</v>
      </c>
      <c r="C21" s="113">
        <v>0.5</v>
      </c>
      <c r="D21" s="167">
        <f t="shared" si="3"/>
        <v>6</v>
      </c>
      <c r="E21" s="115">
        <v>17000</v>
      </c>
      <c r="F21" s="113">
        <v>0.5</v>
      </c>
      <c r="G21" s="168">
        <f t="shared" si="0"/>
        <v>6</v>
      </c>
      <c r="H21" s="54">
        <f t="shared" si="1"/>
        <v>0</v>
      </c>
      <c r="I21" s="54">
        <f t="shared" si="4"/>
        <v>0</v>
      </c>
      <c r="J21" s="54">
        <f t="shared" si="2"/>
        <v>0</v>
      </c>
      <c r="K21" s="54">
        <f t="shared" si="2"/>
        <v>0</v>
      </c>
      <c r="L21" s="54">
        <f t="shared" si="2"/>
        <v>0</v>
      </c>
      <c r="M21" s="104"/>
    </row>
    <row r="22" spans="1:15" ht="15">
      <c r="A22" s="126" t="s">
        <v>126</v>
      </c>
      <c r="B22" s="104" t="s">
        <v>67</v>
      </c>
      <c r="C22" s="113">
        <v>0.5</v>
      </c>
      <c r="D22" s="167">
        <f t="shared" si="3"/>
        <v>6</v>
      </c>
      <c r="E22" s="115">
        <v>17000</v>
      </c>
      <c r="F22" s="113">
        <v>0.5</v>
      </c>
      <c r="G22" s="168">
        <f t="shared" si="0"/>
        <v>6</v>
      </c>
      <c r="H22" s="54">
        <f t="shared" si="1"/>
        <v>0</v>
      </c>
      <c r="I22" s="54">
        <f t="shared" si="4"/>
        <v>0</v>
      </c>
      <c r="J22" s="54">
        <f t="shared" si="2"/>
        <v>0</v>
      </c>
      <c r="K22" s="54">
        <f t="shared" si="2"/>
        <v>0</v>
      </c>
      <c r="L22" s="54">
        <f t="shared" si="2"/>
        <v>0</v>
      </c>
      <c r="M22" s="104"/>
    </row>
    <row r="23" spans="1:15" ht="15">
      <c r="A23" s="127" t="s">
        <v>127</v>
      </c>
      <c r="B23" s="104" t="s">
        <v>31</v>
      </c>
      <c r="C23" s="113">
        <v>1</v>
      </c>
      <c r="D23" s="167">
        <f t="shared" si="3"/>
        <v>12</v>
      </c>
      <c r="E23" s="115">
        <v>27000</v>
      </c>
      <c r="F23" s="113">
        <v>1</v>
      </c>
      <c r="G23" s="168">
        <f t="shared" si="0"/>
        <v>12</v>
      </c>
      <c r="H23" s="54">
        <f t="shared" si="1"/>
        <v>0</v>
      </c>
      <c r="I23" s="54">
        <f t="shared" si="4"/>
        <v>0</v>
      </c>
      <c r="J23" s="54">
        <f t="shared" si="2"/>
        <v>0</v>
      </c>
      <c r="K23" s="54">
        <f t="shared" si="2"/>
        <v>0</v>
      </c>
      <c r="L23" s="54">
        <f t="shared" si="2"/>
        <v>0</v>
      </c>
      <c r="M23" s="104"/>
    </row>
    <row r="24" spans="1:15" ht="15">
      <c r="A24" s="127" t="s">
        <v>128</v>
      </c>
      <c r="B24" s="104" t="s">
        <v>31</v>
      </c>
      <c r="C24" s="113">
        <v>1</v>
      </c>
      <c r="D24" s="167">
        <f t="shared" si="3"/>
        <v>12</v>
      </c>
      <c r="E24" s="115">
        <v>27000</v>
      </c>
      <c r="F24" s="113">
        <v>1</v>
      </c>
      <c r="G24" s="168">
        <f t="shared" si="0"/>
        <v>12</v>
      </c>
      <c r="H24" s="54">
        <f t="shared" si="1"/>
        <v>0</v>
      </c>
      <c r="I24" s="54">
        <f t="shared" si="4"/>
        <v>0</v>
      </c>
      <c r="J24" s="54">
        <f t="shared" si="2"/>
        <v>0</v>
      </c>
      <c r="K24" s="54">
        <f t="shared" si="2"/>
        <v>0</v>
      </c>
      <c r="L24" s="54">
        <f t="shared" si="2"/>
        <v>0</v>
      </c>
      <c r="M24" s="104"/>
    </row>
    <row r="25" spans="1:15" ht="15">
      <c r="A25" s="16" t="s">
        <v>133</v>
      </c>
      <c r="B25" s="104"/>
      <c r="C25" s="170"/>
      <c r="D25" s="105"/>
      <c r="E25" s="104"/>
      <c r="F25" s="104"/>
      <c r="G25" s="106"/>
      <c r="H25" s="14"/>
      <c r="I25" s="104" t="s">
        <v>25</v>
      </c>
      <c r="J25" s="104"/>
      <c r="K25" s="104"/>
      <c r="L25" s="104"/>
      <c r="M25" s="104"/>
    </row>
    <row r="26" spans="1:15" ht="15">
      <c r="A26" s="104"/>
      <c r="B26" s="104"/>
      <c r="C26" s="104"/>
      <c r="D26" s="105"/>
      <c r="E26" s="104"/>
      <c r="F26" s="104"/>
      <c r="G26" s="106"/>
      <c r="H26" s="14"/>
      <c r="I26" s="104"/>
      <c r="J26" s="104"/>
      <c r="K26" s="104"/>
      <c r="L26" s="104"/>
      <c r="M26" s="104"/>
    </row>
    <row r="27" spans="1:15" ht="15.75">
      <c r="A27" s="69" t="s">
        <v>18</v>
      </c>
      <c r="B27" s="104"/>
      <c r="C27" s="104"/>
      <c r="D27" s="105"/>
      <c r="E27" s="104"/>
      <c r="F27" s="104"/>
      <c r="G27" s="106"/>
      <c r="H27" s="10">
        <f>SUM(H14:H26)</f>
        <v>47355.000000000007</v>
      </c>
      <c r="I27" s="10">
        <f>SUM(I14:I26)</f>
        <v>47760.000000000007</v>
      </c>
      <c r="J27" s="10">
        <f>SUM(J14:J26)</f>
        <v>48177.150000000009</v>
      </c>
      <c r="K27" s="10">
        <f>SUM(K14:K26)</f>
        <v>48606.814500000008</v>
      </c>
      <c r="L27" s="10">
        <f>SUM(L14:L26)</f>
        <v>49049.368935000006</v>
      </c>
      <c r="M27" s="10">
        <f>SUM(H27:L27)</f>
        <v>240948.33343500004</v>
      </c>
    </row>
    <row r="28" spans="1:15" ht="23.25">
      <c r="A28" s="70" t="s">
        <v>174</v>
      </c>
      <c r="B28" s="12"/>
      <c r="C28" s="12"/>
      <c r="D28" s="30"/>
      <c r="E28" s="12"/>
      <c r="F28" s="12"/>
      <c r="G28" s="106"/>
      <c r="H28" s="10">
        <f>ROUND(((H14+H15+H16+H17+H18)*38%)+((H19+H20)*0.6%)+((H21+H22)*4.2%)+((H23+H24)*15%), 0)</f>
        <v>17995</v>
      </c>
      <c r="I28" s="10">
        <f t="shared" ref="I28:L28" si="5">ROUND(((I14+I15+I16+I17+I18)*41%)+((I19+I20)*0.6%)+((I21+I22)*4.4%)+((I23+I24)*9%), 0)</f>
        <v>19582</v>
      </c>
      <c r="J28" s="10">
        <f t="shared" si="5"/>
        <v>19753</v>
      </c>
      <c r="K28" s="10">
        <f t="shared" si="5"/>
        <v>19929</v>
      </c>
      <c r="L28" s="10">
        <f t="shared" si="5"/>
        <v>20110</v>
      </c>
      <c r="M28" s="10">
        <f>SUM(H28:L28)</f>
        <v>97369</v>
      </c>
      <c r="O28" s="107" t="s">
        <v>25</v>
      </c>
    </row>
    <row r="29" spans="1:15" s="1" customFormat="1" ht="23.25" customHeight="1">
      <c r="A29" s="70" t="s">
        <v>78</v>
      </c>
      <c r="B29" s="11"/>
      <c r="C29" s="11"/>
      <c r="D29" s="26"/>
      <c r="E29" s="11" t="s">
        <v>28</v>
      </c>
      <c r="F29" s="11"/>
      <c r="G29" s="35"/>
      <c r="H29" s="10"/>
      <c r="I29" s="10"/>
      <c r="J29" s="10"/>
      <c r="K29" s="10"/>
      <c r="L29" s="10"/>
      <c r="M29" s="10"/>
      <c r="O29" s="1" t="s">
        <v>25</v>
      </c>
    </row>
    <row r="30" spans="1:15" s="1" customFormat="1" ht="23.25" customHeight="1">
      <c r="A30" s="115" t="s">
        <v>111</v>
      </c>
      <c r="B30" s="11"/>
      <c r="C30" s="11"/>
      <c r="D30" s="26"/>
      <c r="E30" s="11"/>
      <c r="F30" s="11"/>
      <c r="G30" s="35"/>
      <c r="H30" s="10"/>
      <c r="I30" s="131"/>
      <c r="J30" s="131"/>
      <c r="K30" s="131"/>
      <c r="L30" s="131"/>
      <c r="M30" s="10">
        <f>SUM(H30:L30)</f>
        <v>0</v>
      </c>
    </row>
    <row r="31" spans="1:15" s="1" customFormat="1" ht="23.25" customHeight="1">
      <c r="A31" s="132" t="s">
        <v>75</v>
      </c>
      <c r="B31" s="11"/>
      <c r="C31" s="11"/>
      <c r="D31" s="26"/>
      <c r="E31" s="11"/>
      <c r="F31" s="11"/>
      <c r="G31" s="35"/>
      <c r="H31" s="10"/>
      <c r="I31" s="131"/>
      <c r="J31" s="131"/>
      <c r="K31" s="131"/>
      <c r="L31" s="131"/>
      <c r="M31" s="10"/>
    </row>
    <row r="32" spans="1:15" s="1" customFormat="1" ht="23.25" customHeight="1">
      <c r="A32" s="115" t="s">
        <v>116</v>
      </c>
      <c r="B32" s="11"/>
      <c r="C32" s="11"/>
      <c r="D32" s="26"/>
      <c r="E32" s="11"/>
      <c r="F32" s="11"/>
      <c r="G32" s="35"/>
      <c r="H32" s="10"/>
      <c r="I32" s="131"/>
      <c r="J32" s="131"/>
      <c r="K32" s="131"/>
      <c r="L32" s="131"/>
      <c r="M32" s="10">
        <f>SUM(H32:L32)</f>
        <v>0</v>
      </c>
    </row>
    <row r="33" spans="1:20" s="1" customFormat="1" ht="23.25" customHeight="1">
      <c r="A33" s="132" t="s">
        <v>76</v>
      </c>
      <c r="B33" s="11"/>
      <c r="C33" s="11"/>
      <c r="D33" s="26"/>
      <c r="E33" s="11"/>
      <c r="F33" s="11"/>
      <c r="G33" s="35"/>
      <c r="H33" s="10"/>
      <c r="I33" s="131"/>
      <c r="J33" s="131"/>
      <c r="K33" s="131"/>
      <c r="L33" s="131"/>
      <c r="M33" s="10"/>
    </row>
    <row r="34" spans="1:20" s="1" customFormat="1" ht="23.25" customHeight="1">
      <c r="A34" s="115" t="s">
        <v>79</v>
      </c>
      <c r="B34" s="11"/>
      <c r="C34" s="11"/>
      <c r="D34" s="26"/>
      <c r="E34" s="11"/>
      <c r="F34" s="11"/>
      <c r="G34" s="35"/>
      <c r="H34" s="10"/>
      <c r="I34" s="131"/>
      <c r="J34" s="131"/>
      <c r="K34" s="131"/>
      <c r="L34" s="131"/>
      <c r="M34" s="10">
        <f>SUM(H34:L34)</f>
        <v>0</v>
      </c>
    </row>
    <row r="35" spans="1:20" s="1" customFormat="1" ht="23.25" customHeight="1">
      <c r="A35" s="132" t="s">
        <v>77</v>
      </c>
      <c r="B35" s="11"/>
      <c r="C35" s="11"/>
      <c r="D35" s="26"/>
      <c r="E35" s="11"/>
      <c r="F35" s="11"/>
      <c r="G35" s="35"/>
      <c r="H35" s="10"/>
      <c r="I35" s="131"/>
      <c r="J35" s="131"/>
      <c r="K35" s="131"/>
      <c r="L35" s="131"/>
      <c r="M35" s="10"/>
    </row>
    <row r="36" spans="1:20" s="1" customFormat="1" ht="13.15" customHeight="1">
      <c r="A36" s="115" t="s">
        <v>112</v>
      </c>
      <c r="B36" s="11"/>
      <c r="C36" s="11"/>
      <c r="D36" s="26"/>
      <c r="E36" s="11"/>
      <c r="F36" s="11"/>
      <c r="G36" s="35"/>
      <c r="H36" s="10"/>
      <c r="I36" s="131"/>
      <c r="J36" s="131"/>
      <c r="K36" s="131"/>
      <c r="L36" s="131"/>
      <c r="M36" s="10">
        <f>SUM(H36:L36)</f>
        <v>0</v>
      </c>
      <c r="O36" s="1" t="s">
        <v>25</v>
      </c>
    </row>
    <row r="37" spans="1:20" s="3" customFormat="1" ht="20.100000000000001" customHeight="1">
      <c r="A37" s="69" t="s">
        <v>141</v>
      </c>
      <c r="B37" s="11"/>
      <c r="C37" s="11"/>
      <c r="D37" s="26"/>
      <c r="E37" s="11"/>
      <c r="F37" s="11"/>
      <c r="G37" s="35"/>
      <c r="H37" s="10"/>
      <c r="I37" s="10"/>
      <c r="J37" s="10"/>
      <c r="K37" s="10"/>
      <c r="L37" s="10"/>
      <c r="M37" s="10"/>
      <c r="N37" s="1"/>
      <c r="O37" s="5"/>
      <c r="P37" s="5"/>
      <c r="Q37" s="5"/>
      <c r="R37" s="5"/>
      <c r="S37" s="5"/>
      <c r="T37" s="5"/>
    </row>
    <row r="38" spans="1:20" s="3" customFormat="1" ht="20.100000000000001" customHeight="1">
      <c r="A38" s="115" t="s">
        <v>142</v>
      </c>
      <c r="B38" s="18"/>
      <c r="C38" s="18"/>
      <c r="D38" s="31"/>
      <c r="E38" s="13"/>
      <c r="F38" s="13"/>
      <c r="G38" s="40"/>
      <c r="H38" s="116"/>
      <c r="I38" s="116"/>
      <c r="J38" s="116"/>
      <c r="K38" s="116"/>
      <c r="L38" s="116"/>
      <c r="M38" s="10">
        <f>SUM(H38:L38)</f>
        <v>0</v>
      </c>
      <c r="N38" s="1"/>
      <c r="O38" s="5"/>
      <c r="P38" s="5"/>
      <c r="Q38" s="5"/>
      <c r="R38" s="5"/>
      <c r="S38" s="5"/>
      <c r="T38" s="5"/>
    </row>
    <row r="39" spans="1:20" s="3" customFormat="1" ht="20.100000000000001" customHeight="1">
      <c r="A39" s="69" t="s">
        <v>44</v>
      </c>
      <c r="B39" s="6"/>
      <c r="C39" s="6"/>
      <c r="D39" s="27"/>
      <c r="E39" s="7"/>
      <c r="F39" s="7"/>
      <c r="G39" s="39"/>
      <c r="H39" s="10"/>
      <c r="I39" s="10"/>
      <c r="J39" s="10"/>
      <c r="K39" s="10"/>
      <c r="L39" s="10"/>
      <c r="M39" s="10"/>
      <c r="N39" s="1"/>
      <c r="O39" s="5" t="s">
        <v>25</v>
      </c>
      <c r="P39" s="5"/>
      <c r="Q39" s="5"/>
      <c r="R39" s="5"/>
      <c r="S39" s="5"/>
      <c r="T39" s="5"/>
    </row>
    <row r="40" spans="1:20" s="3" customFormat="1" ht="13.15" customHeight="1">
      <c r="A40" s="115" t="s">
        <v>30</v>
      </c>
      <c r="B40" s="9"/>
      <c r="C40" s="9"/>
      <c r="D40" s="28"/>
      <c r="E40" s="9"/>
      <c r="F40" s="9"/>
      <c r="G40" s="36"/>
      <c r="H40" s="116"/>
      <c r="I40" s="116"/>
      <c r="J40" s="116"/>
      <c r="K40" s="116"/>
      <c r="L40" s="116"/>
      <c r="M40" s="10">
        <f>SUM(H40:L40)</f>
        <v>0</v>
      </c>
      <c r="N40" s="1"/>
      <c r="O40" s="5" t="s">
        <v>25</v>
      </c>
      <c r="P40" s="5"/>
      <c r="Q40" s="5"/>
      <c r="R40" s="5"/>
      <c r="S40" s="5"/>
      <c r="T40" s="5"/>
    </row>
    <row r="41" spans="1:20" s="1" customFormat="1" ht="13.15" customHeight="1">
      <c r="A41" s="69" t="s">
        <v>45</v>
      </c>
      <c r="B41" s="11"/>
      <c r="C41" s="11"/>
      <c r="D41" s="26"/>
      <c r="E41" s="11"/>
      <c r="F41" s="11"/>
      <c r="G41" s="35"/>
      <c r="H41" s="10"/>
      <c r="I41" s="10"/>
      <c r="J41" s="10"/>
      <c r="K41" s="10"/>
      <c r="L41" s="10"/>
      <c r="M41" s="10"/>
      <c r="O41" s="1" t="s">
        <v>25</v>
      </c>
    </row>
    <row r="42" spans="1:20" s="1" customFormat="1" ht="20.100000000000001" customHeight="1">
      <c r="A42" s="115" t="s">
        <v>68</v>
      </c>
      <c r="B42" s="18"/>
      <c r="C42" s="18"/>
      <c r="D42" s="31"/>
      <c r="E42" s="13"/>
      <c r="F42" s="13"/>
      <c r="G42" s="40"/>
      <c r="H42" s="116"/>
      <c r="I42" s="116"/>
      <c r="J42" s="116"/>
      <c r="K42" s="116"/>
      <c r="L42" s="116"/>
      <c r="M42" s="10">
        <f>SUM(H42:L42)</f>
        <v>0</v>
      </c>
    </row>
    <row r="43" spans="1:20" s="1" customFormat="1" ht="13.15" customHeight="1">
      <c r="A43" s="69" t="s">
        <v>46</v>
      </c>
      <c r="B43" s="11"/>
      <c r="C43" s="11"/>
      <c r="D43" s="26"/>
      <c r="E43" s="11"/>
      <c r="F43" s="11"/>
      <c r="G43" s="35"/>
      <c r="H43" s="10"/>
      <c r="I43" s="10"/>
      <c r="J43" s="10"/>
      <c r="K43" s="10"/>
      <c r="L43" s="10"/>
      <c r="M43" s="10"/>
      <c r="O43" s="1" t="s">
        <v>25</v>
      </c>
    </row>
    <row r="44" spans="1:20" s="1" customFormat="1" ht="20.100000000000001" customHeight="1">
      <c r="A44" s="115" t="s">
        <v>64</v>
      </c>
      <c r="B44" s="18"/>
      <c r="C44" s="18"/>
      <c r="D44" s="31"/>
      <c r="E44" s="13"/>
      <c r="F44" s="13"/>
      <c r="G44" s="40"/>
      <c r="H44" s="116"/>
      <c r="I44" s="116"/>
      <c r="J44" s="116"/>
      <c r="K44" s="116"/>
      <c r="L44" s="116"/>
      <c r="M44" s="10">
        <f>SUM(H44:L44)</f>
        <v>0</v>
      </c>
    </row>
    <row r="45" spans="1:20" s="1" customFormat="1" ht="13.15" customHeight="1">
      <c r="A45" s="69" t="s">
        <v>47</v>
      </c>
      <c r="B45" s="11"/>
      <c r="C45" s="11"/>
      <c r="D45" s="26"/>
      <c r="E45" s="11"/>
      <c r="F45" s="11"/>
      <c r="G45" s="35"/>
      <c r="H45" s="10"/>
      <c r="I45" s="10"/>
      <c r="J45" s="10"/>
      <c r="K45" s="10"/>
      <c r="L45" s="10"/>
      <c r="M45" s="10"/>
      <c r="O45" s="1" t="s">
        <v>25</v>
      </c>
    </row>
    <row r="46" spans="1:20" s="1" customFormat="1" ht="20.100000000000001" customHeight="1">
      <c r="A46" s="115" t="s">
        <v>69</v>
      </c>
      <c r="B46" s="18"/>
      <c r="C46" s="18"/>
      <c r="D46" s="31"/>
      <c r="E46" s="13"/>
      <c r="F46" s="13"/>
      <c r="G46" s="40"/>
      <c r="H46" s="116"/>
      <c r="I46" s="116"/>
      <c r="J46" s="116"/>
      <c r="K46" s="116"/>
      <c r="L46" s="116"/>
      <c r="M46" s="10">
        <f>SUM(H46:L46)</f>
        <v>0</v>
      </c>
    </row>
    <row r="47" spans="1:20" s="1" customFormat="1" ht="14.1" customHeight="1">
      <c r="A47" s="69" t="s">
        <v>42</v>
      </c>
      <c r="B47" s="19" t="s">
        <v>20</v>
      </c>
      <c r="C47" s="19"/>
      <c r="D47" s="32" t="s">
        <v>21</v>
      </c>
      <c r="E47" s="19" t="s">
        <v>41</v>
      </c>
      <c r="F47" s="19"/>
      <c r="G47" s="41" t="s">
        <v>17</v>
      </c>
      <c r="H47" s="10"/>
      <c r="I47" s="10"/>
      <c r="J47" s="10"/>
      <c r="K47" s="10"/>
      <c r="L47" s="10"/>
      <c r="M47" s="10"/>
      <c r="O47" s="1" t="s">
        <v>25</v>
      </c>
    </row>
    <row r="48" spans="1:20" s="1" customFormat="1" ht="20.100000000000001" customHeight="1">
      <c r="A48" s="115" t="s">
        <v>73</v>
      </c>
      <c r="B48" s="20"/>
      <c r="C48" s="20"/>
      <c r="D48" s="24"/>
      <c r="E48" s="20"/>
      <c r="F48" s="20"/>
      <c r="G48" s="89"/>
      <c r="H48" s="21">
        <f>IF(G48&gt;25000,25000,+G48)</f>
        <v>0</v>
      </c>
      <c r="I48" s="10"/>
      <c r="J48" s="10"/>
      <c r="K48" s="10"/>
      <c r="L48" s="10"/>
      <c r="M48" s="10"/>
    </row>
    <row r="49" spans="1:15" s="1" customFormat="1" ht="20.100000000000001" customHeight="1">
      <c r="A49" s="115" t="s">
        <v>72</v>
      </c>
      <c r="B49" s="20"/>
      <c r="C49" s="20"/>
      <c r="D49" s="24"/>
      <c r="E49" s="20"/>
      <c r="F49" s="20"/>
      <c r="G49" s="35"/>
      <c r="H49" s="21">
        <f>IF(G49&gt;25000,25000,+G49)</f>
        <v>0</v>
      </c>
      <c r="I49" s="10"/>
      <c r="J49" s="10"/>
      <c r="K49" s="10"/>
      <c r="L49" s="10"/>
      <c r="M49" s="10"/>
    </row>
    <row r="50" spans="1:15" s="1" customFormat="1" ht="20.100000000000001" customHeight="1">
      <c r="A50" s="69" t="s">
        <v>34</v>
      </c>
      <c r="B50" s="18"/>
      <c r="C50" s="18"/>
      <c r="D50" s="31"/>
      <c r="E50" s="13"/>
      <c r="F50" s="13"/>
      <c r="G50" s="40"/>
      <c r="H50" s="10">
        <f>B48+B49</f>
        <v>0</v>
      </c>
      <c r="I50" s="10">
        <f>SUM(I48:I49)</f>
        <v>0</v>
      </c>
      <c r="J50" s="10">
        <f>SUM(J48:J49)</f>
        <v>0</v>
      </c>
      <c r="K50" s="10">
        <f>SUM(K48:K49)</f>
        <v>0</v>
      </c>
      <c r="L50" s="10">
        <f>SUM(L48:L49)</f>
        <v>0</v>
      </c>
      <c r="M50" s="10">
        <f t="shared" ref="M50:M55" si="6">SUM(H50:L50)</f>
        <v>0</v>
      </c>
    </row>
    <row r="51" spans="1:15" s="1" customFormat="1" ht="20.100000000000001" customHeight="1">
      <c r="A51" s="69" t="s">
        <v>24</v>
      </c>
      <c r="B51" s="8"/>
      <c r="C51" s="8"/>
      <c r="D51" s="33"/>
      <c r="E51" s="7"/>
      <c r="F51" s="7"/>
      <c r="G51" s="39"/>
      <c r="H51" s="111">
        <f>H27+H28+H34+H32+H30+H36+H40+H38+H42+H44+H46+H50</f>
        <v>65350.000000000007</v>
      </c>
      <c r="I51" s="111">
        <f>I27+I28+I34+I32+I30+I36+I40+I38+I42+I44+I46+I50</f>
        <v>67342</v>
      </c>
      <c r="J51" s="111">
        <f>J27+J28+J34+J32+J30+J36+J40+J38+J42+J44+J46+J50</f>
        <v>67930.150000000009</v>
      </c>
      <c r="K51" s="111">
        <f>K27+K28+K34+K32+K30+K36+K40+K38+K42+K44+K46+K50</f>
        <v>68535.814500000008</v>
      </c>
      <c r="L51" s="111">
        <f>L27+L28+L34+L32+L30+L36+L40+L38+L42+L44+L46+L50</f>
        <v>69159.368935000006</v>
      </c>
      <c r="M51" s="111">
        <f t="shared" si="6"/>
        <v>338317.33343500004</v>
      </c>
      <c r="O51" s="1" t="s">
        <v>25</v>
      </c>
    </row>
    <row r="52" spans="1:15" s="1" customFormat="1" ht="25.5" customHeight="1">
      <c r="A52" s="70" t="s">
        <v>35</v>
      </c>
      <c r="B52" s="8"/>
      <c r="C52" s="8"/>
      <c r="D52" s="33"/>
      <c r="E52" s="7"/>
      <c r="F52" s="7"/>
      <c r="G52" s="39"/>
      <c r="H52" s="10"/>
      <c r="I52" s="10"/>
      <c r="J52" s="10"/>
      <c r="K52" s="10"/>
      <c r="L52" s="10"/>
      <c r="M52" s="10">
        <f t="shared" si="6"/>
        <v>0</v>
      </c>
    </row>
    <row r="53" spans="1:15" s="1" customFormat="1" ht="20.100000000000001" customHeight="1">
      <c r="A53" s="69" t="s">
        <v>37</v>
      </c>
      <c r="B53" s="8"/>
      <c r="C53" s="8"/>
      <c r="D53" s="33"/>
      <c r="E53" s="7"/>
      <c r="F53" s="7"/>
      <c r="G53" s="39"/>
      <c r="H53" s="91">
        <f>H51+H52</f>
        <v>65350.000000000007</v>
      </c>
      <c r="I53" s="10">
        <f>I51+I52</f>
        <v>67342</v>
      </c>
      <c r="J53" s="10">
        <f>J51+J52</f>
        <v>67930.150000000009</v>
      </c>
      <c r="K53" s="10">
        <f>K51+K52</f>
        <v>68535.814500000008</v>
      </c>
      <c r="L53" s="10">
        <f>L51+L52</f>
        <v>69159.368935000006</v>
      </c>
      <c r="M53" s="91">
        <f t="shared" si="6"/>
        <v>338317.33343500004</v>
      </c>
    </row>
    <row r="54" spans="1:15" s="1" customFormat="1" ht="20.100000000000001" customHeight="1">
      <c r="A54" s="69" t="s">
        <v>36</v>
      </c>
      <c r="B54" s="171" t="s">
        <v>50</v>
      </c>
      <c r="C54" s="86"/>
      <c r="D54" s="130">
        <v>0.5</v>
      </c>
      <c r="E54" s="8"/>
      <c r="F54" s="22"/>
      <c r="G54" s="42"/>
      <c r="H54" s="91">
        <f>ROUND($D$54*H56,0)</f>
        <v>32675</v>
      </c>
      <c r="I54" s="10">
        <f>ROUND($D$54*I56,0)</f>
        <v>33671</v>
      </c>
      <c r="J54" s="10">
        <f>ROUND($D$54*J56,0)</f>
        <v>33965</v>
      </c>
      <c r="K54" s="10">
        <f>ROUND($D$54*K56,0)</f>
        <v>34268</v>
      </c>
      <c r="L54" s="10">
        <f>ROUND($D$54*L56,0)</f>
        <v>34580</v>
      </c>
      <c r="M54" s="91">
        <f t="shared" si="6"/>
        <v>169159</v>
      </c>
    </row>
    <row r="55" spans="1:15" s="1" customFormat="1" ht="20.100000000000001" customHeight="1">
      <c r="A55" s="69" t="s">
        <v>38</v>
      </c>
      <c r="B55" s="8"/>
      <c r="C55" s="8"/>
      <c r="D55" s="33"/>
      <c r="E55" s="7"/>
      <c r="F55" s="7"/>
      <c r="G55" s="39"/>
      <c r="H55" s="91">
        <f>H53+H54</f>
        <v>98025</v>
      </c>
      <c r="I55" s="10">
        <f>I53+I54</f>
        <v>101013</v>
      </c>
      <c r="J55" s="10">
        <f>J53+J54</f>
        <v>101895.15000000001</v>
      </c>
      <c r="K55" s="10">
        <f>K53+K54</f>
        <v>102803.81450000001</v>
      </c>
      <c r="L55" s="10">
        <f>L53+L54</f>
        <v>103739.36893500001</v>
      </c>
      <c r="M55" s="91">
        <f t="shared" si="6"/>
        <v>507476.33343500004</v>
      </c>
    </row>
    <row r="56" spans="1:15" s="1" customFormat="1" ht="20.100000000000001" customHeight="1">
      <c r="A56" s="69" t="s">
        <v>49</v>
      </c>
      <c r="B56" s="11"/>
      <c r="C56" s="11"/>
      <c r="D56" s="26"/>
      <c r="E56" s="11"/>
      <c r="F56" s="11"/>
      <c r="G56" s="35"/>
      <c r="H56" s="23">
        <f>H27+H28+H30+H32+H34+H36+SUM(H58:H59)</f>
        <v>65350.000000000007</v>
      </c>
      <c r="I56" s="23">
        <f>I27+I28+I30+I32+I34+I36+SUM(I58:I59)</f>
        <v>67342</v>
      </c>
      <c r="J56" s="23">
        <f>J27+J28+J30+J32+J34+J36+SUM(J58:J59)</f>
        <v>67930.150000000009</v>
      </c>
      <c r="K56" s="23">
        <f>K27+K28+K30+K32+K34+K36+SUM(K58:K59)</f>
        <v>68535.814500000008</v>
      </c>
      <c r="L56" s="23">
        <f>L27+L28+L30+L32+L34+L36+SUM(L58:L59)</f>
        <v>69159.368935000006</v>
      </c>
      <c r="M56" s="11"/>
    </row>
    <row r="57" spans="1:15" s="1" customFormat="1" ht="12" customHeight="1">
      <c r="A57" s="82" t="s">
        <v>22</v>
      </c>
      <c r="B57" s="11"/>
      <c r="C57" s="11"/>
      <c r="D57" s="26"/>
      <c r="E57" s="11"/>
      <c r="F57" s="11"/>
      <c r="G57" s="35"/>
      <c r="H57" s="133">
        <f>SUM(H48:H56)</f>
        <v>326750</v>
      </c>
      <c r="I57" s="11"/>
      <c r="J57" s="11"/>
      <c r="K57" s="11"/>
      <c r="L57" s="11"/>
      <c r="M57" s="104"/>
    </row>
    <row r="58" spans="1:15" ht="12.75" customHeight="1">
      <c r="A58" s="104" t="str">
        <f>A48</f>
        <v>Subgrantee1</v>
      </c>
      <c r="B58" s="104"/>
      <c r="C58" s="104"/>
      <c r="D58" s="105"/>
      <c r="E58" s="104" t="s">
        <v>25</v>
      </c>
      <c r="F58" s="104"/>
      <c r="G58" s="106"/>
      <c r="H58" s="10">
        <f>IF(H65&gt;25000,25000,H65)</f>
        <v>0</v>
      </c>
      <c r="I58" s="10">
        <f>IF((H65+I65)&gt;=25000,25000-H58,I65)</f>
        <v>0</v>
      </c>
      <c r="J58" s="10">
        <f>IF(($H$65+$I$65+$J$65)&gt;=25000,25000-I58-H58,J65)</f>
        <v>0</v>
      </c>
      <c r="K58" s="10">
        <f>IF(($H$65+$I$65+$J$65+$K$65)&gt;=25000,25000-J58-I58-H58,K65)</f>
        <v>0</v>
      </c>
      <c r="L58" s="10">
        <f>IF(($H$65+$I$65+$J$65+$K$65+$L$65)&gt;=25000,25000-K58-J58-I58-H58,L65)</f>
        <v>0</v>
      </c>
      <c r="M58" s="10">
        <f>SUM(H58:L58)</f>
        <v>0</v>
      </c>
    </row>
    <row r="59" spans="1:15" ht="15" customHeight="1">
      <c r="A59" s="104" t="str">
        <f>A49</f>
        <v>Subgrantee2</v>
      </c>
      <c r="B59" s="104"/>
      <c r="C59" s="104"/>
      <c r="D59" s="105"/>
      <c r="E59" s="104"/>
      <c r="F59" s="104"/>
      <c r="G59" s="106"/>
      <c r="H59" s="10">
        <f>IF(H66&gt;25000,25000,H66)</f>
        <v>0</v>
      </c>
      <c r="I59" s="10">
        <f>IF((H66+I66)&gt;=25000,25000-H59,I66)</f>
        <v>0</v>
      </c>
      <c r="J59" s="10">
        <f>IF(($H$66+$I$66+$J$66)&gt;=25000,25000-I59-H59,J66)</f>
        <v>0</v>
      </c>
      <c r="K59" s="10">
        <f>IF(($H$66+$I$66+$J$66+$K$66)&gt;=25000,25000-J59-I59-H59,K66)</f>
        <v>0</v>
      </c>
      <c r="L59" s="10">
        <f>IF(($H$66+$I$66+$J$66+$K$66+$L$66)&gt;=25000,25000-K59-J59-I59-H59,L66)</f>
        <v>0</v>
      </c>
      <c r="M59" s="10">
        <f>SUM(H59:L59)</f>
        <v>0</v>
      </c>
    </row>
    <row r="60" spans="1:15">
      <c r="A60" s="183" t="s">
        <v>48</v>
      </c>
      <c r="B60" s="184"/>
      <c r="C60" s="184"/>
      <c r="D60" s="184"/>
      <c r="E60" s="184"/>
      <c r="F60" s="184"/>
      <c r="G60" s="184"/>
      <c r="H60" s="184"/>
      <c r="I60" s="184"/>
      <c r="J60" s="184"/>
      <c r="K60" s="184"/>
      <c r="L60" s="184"/>
      <c r="M60" s="184"/>
    </row>
    <row r="61" spans="1:15" ht="12" customHeight="1">
      <c r="A61" s="184"/>
      <c r="B61" s="184"/>
      <c r="C61" s="184"/>
      <c r="D61" s="184"/>
      <c r="E61" s="184"/>
      <c r="F61" s="184"/>
      <c r="G61" s="184"/>
      <c r="H61" s="184"/>
      <c r="I61" s="184"/>
      <c r="J61" s="184"/>
      <c r="K61" s="184"/>
      <c r="L61" s="184"/>
      <c r="M61" s="184"/>
    </row>
    <row r="62" spans="1:15">
      <c r="A62" s="184"/>
      <c r="B62" s="184"/>
      <c r="C62" s="184"/>
      <c r="D62" s="184"/>
      <c r="E62" s="184"/>
      <c r="F62" s="184"/>
      <c r="G62" s="184"/>
      <c r="H62" s="184"/>
      <c r="I62" s="184"/>
      <c r="J62" s="184"/>
      <c r="K62" s="184"/>
      <c r="L62" s="184"/>
      <c r="M62" s="184"/>
    </row>
    <row r="63" spans="1:15">
      <c r="A63" s="184"/>
      <c r="B63" s="184"/>
      <c r="C63" s="184"/>
      <c r="D63" s="184"/>
      <c r="E63" s="184"/>
      <c r="F63" s="184"/>
      <c r="G63" s="184"/>
      <c r="H63" s="184"/>
      <c r="I63" s="184"/>
      <c r="J63" s="184"/>
      <c r="K63" s="184"/>
      <c r="L63" s="184"/>
      <c r="M63" s="184"/>
    </row>
    <row r="65" spans="1:12">
      <c r="A65" s="110"/>
    </row>
    <row r="66" spans="1:12">
      <c r="B66" s="110"/>
    </row>
    <row r="70" spans="1:12">
      <c r="G70" s="148"/>
    </row>
    <row r="71" spans="1:12">
      <c r="G71" s="148"/>
    </row>
    <row r="72" spans="1:12">
      <c r="G72" s="149"/>
      <c r="H72" s="5"/>
      <c r="I72" s="5"/>
      <c r="J72" s="5"/>
      <c r="K72" s="5"/>
      <c r="L72" s="5"/>
    </row>
  </sheetData>
  <mergeCells count="1">
    <mergeCell ref="A60:M63"/>
  </mergeCells>
  <pageMargins left="0.7" right="0.7" top="0.75" bottom="0.75" header="0.3" footer="0.3"/>
  <pageSetup scale="47" orientation="landscape" r:id="rId1"/>
  <rowBreaks count="1" manualBreakCount="1">
    <brk id="63" max="16383" man="1"/>
  </rowBreaks>
  <colBreaks count="1" manualBreakCount="1">
    <brk id="13" max="104857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zoomScaleNormal="100" workbookViewId="0">
      <selection activeCell="C10" sqref="C10"/>
    </sheetView>
  </sheetViews>
  <sheetFormatPr defaultColWidth="8.7109375" defaultRowHeight="12.75"/>
  <cols>
    <col min="1" max="1" width="33.7109375" style="147" bestFit="1" customWidth="1"/>
    <col min="2" max="2" width="28.42578125" style="147" bestFit="1" customWidth="1"/>
    <col min="3" max="7" width="9.28515625" style="147" bestFit="1" customWidth="1"/>
    <col min="8" max="8" width="10.7109375" style="147" bestFit="1" customWidth="1"/>
    <col min="9" max="16384" width="8.7109375" style="147"/>
  </cols>
  <sheetData>
    <row r="1" spans="1:8" s="150" customFormat="1" ht="38.25">
      <c r="A1" s="150" t="s">
        <v>158</v>
      </c>
      <c r="B1" s="150" t="s">
        <v>159</v>
      </c>
      <c r="C1" s="178" t="s">
        <v>154</v>
      </c>
      <c r="D1" s="178" t="s">
        <v>153</v>
      </c>
      <c r="E1" s="178" t="s">
        <v>155</v>
      </c>
      <c r="F1" s="178" t="s">
        <v>156</v>
      </c>
      <c r="G1" s="178" t="s">
        <v>157</v>
      </c>
      <c r="H1" s="178" t="s">
        <v>160</v>
      </c>
    </row>
    <row r="2" spans="1:8">
      <c r="A2" s="147">
        <v>500001</v>
      </c>
      <c r="B2" s="147" t="s">
        <v>146</v>
      </c>
      <c r="C2">
        <f>PrimeGrantee!H27</f>
        <v>277022</v>
      </c>
      <c r="D2">
        <f>PrimeGrantee!I27</f>
        <v>285332.66000000003</v>
      </c>
      <c r="E2">
        <f>PrimeGrantee!J27</f>
        <v>293892.63979999995</v>
      </c>
      <c r="F2">
        <f>PrimeGrantee!K27</f>
        <v>302709.41899400001</v>
      </c>
      <c r="G2">
        <f>PrimeGrantee!L27</f>
        <v>311790.70156382001</v>
      </c>
      <c r="H2">
        <f>SUM(C2:G2)</f>
        <v>1470747.4203578199</v>
      </c>
    </row>
    <row r="3" spans="1:8">
      <c r="A3" s="147">
        <v>510000</v>
      </c>
      <c r="B3" s="147" t="s">
        <v>147</v>
      </c>
      <c r="C3">
        <f>PrimeGrantee!H28</f>
        <v>78126</v>
      </c>
      <c r="D3">
        <f>PrimeGrantee!I28</f>
        <v>82792</v>
      </c>
      <c r="E3">
        <f>PrimeGrantee!J28</f>
        <v>85276</v>
      </c>
      <c r="F3">
        <f>PrimeGrantee!K28</f>
        <v>87835</v>
      </c>
      <c r="G3">
        <f>PrimeGrantee!L28</f>
        <v>90470</v>
      </c>
      <c r="H3">
        <f t="shared" ref="H3:H10" si="0">SUM(C3:G3)</f>
        <v>424499</v>
      </c>
    </row>
    <row r="4" spans="1:8">
      <c r="A4" s="147">
        <v>520000</v>
      </c>
      <c r="B4" s="147" t="s">
        <v>148</v>
      </c>
      <c r="C4">
        <f>PrimeGrantee!H34</f>
        <v>2080</v>
      </c>
      <c r="D4">
        <f>PrimeGrantee!I34</f>
        <v>2142.4</v>
      </c>
      <c r="E4">
        <f>PrimeGrantee!J34</f>
        <v>2206.672</v>
      </c>
      <c r="F4">
        <f>PrimeGrantee!K34</f>
        <v>2272.8721599999999</v>
      </c>
      <c r="G4">
        <f>PrimeGrantee!L34</f>
        <v>2341.0583247999998</v>
      </c>
      <c r="H4">
        <f t="shared" si="0"/>
        <v>11043.002484799999</v>
      </c>
    </row>
    <row r="5" spans="1:8" ht="14.25">
      <c r="A5" s="147">
        <v>530000</v>
      </c>
      <c r="B5" s="177" t="s">
        <v>164</v>
      </c>
      <c r="C5">
        <f>PrimeGrantee!H36+PrimeGrantee!H38+PrimeGrantee!H42</f>
        <v>19700</v>
      </c>
      <c r="D5">
        <f>PrimeGrantee!I36+PrimeGrantee!I38+PrimeGrantee!I42</f>
        <v>20255</v>
      </c>
      <c r="E5">
        <f>PrimeGrantee!J36+PrimeGrantee!J38+PrimeGrantee!J42</f>
        <v>20826.650000000001</v>
      </c>
      <c r="F5">
        <f>PrimeGrantee!K36+PrimeGrantee!K38+PrimeGrantee!K42</f>
        <v>21415.449500000002</v>
      </c>
      <c r="G5">
        <f>PrimeGrantee!L36+PrimeGrantee!L38+PrimeGrantee!L42</f>
        <v>22021.912985000003</v>
      </c>
      <c r="H5">
        <f t="shared" si="0"/>
        <v>104219.01248500001</v>
      </c>
    </row>
    <row r="6" spans="1:8">
      <c r="A6" s="147">
        <v>540000</v>
      </c>
      <c r="B6" s="147" t="s">
        <v>149</v>
      </c>
      <c r="C6">
        <f>PrimeGrantee!H30</f>
        <v>3500</v>
      </c>
      <c r="D6">
        <f>PrimeGrantee!I30</f>
        <v>3605</v>
      </c>
      <c r="E6">
        <f>PrimeGrantee!J30</f>
        <v>3713.15</v>
      </c>
      <c r="F6">
        <f>PrimeGrantee!K30</f>
        <v>3824.5445</v>
      </c>
      <c r="G6">
        <f>PrimeGrantee!L30</f>
        <v>3939.280835</v>
      </c>
      <c r="H6">
        <f t="shared" si="0"/>
        <v>18581.975334999999</v>
      </c>
    </row>
    <row r="7" spans="1:8">
      <c r="A7" s="147">
        <v>550000</v>
      </c>
      <c r="B7" s="147" t="s">
        <v>150</v>
      </c>
      <c r="C7">
        <f>PrimeGrantee!H32+PrimeGrantee!H50+PrimeGrantee!H52</f>
        <v>34943</v>
      </c>
      <c r="D7">
        <f>PrimeGrantee!I32+PrimeGrantee!I50+PrimeGrantee!I52</f>
        <v>35989</v>
      </c>
      <c r="E7">
        <f>PrimeGrantee!J32+PrimeGrantee!J50+PrimeGrantee!J52</f>
        <v>37069.760000000009</v>
      </c>
      <c r="F7">
        <f>PrimeGrantee!K32+PrimeGrantee!K50+PrimeGrantee!K52</f>
        <v>38180.992800000007</v>
      </c>
      <c r="G7">
        <f>PrimeGrantee!L32+PrimeGrantee!L50+PrimeGrantee!L52</f>
        <v>39326.432584000002</v>
      </c>
      <c r="H7">
        <f t="shared" si="0"/>
        <v>185509.18538400001</v>
      </c>
    </row>
    <row r="8" spans="1:8" ht="14.25">
      <c r="A8" s="147">
        <v>560000</v>
      </c>
      <c r="B8" s="177" t="s">
        <v>165</v>
      </c>
      <c r="C8">
        <f>PrimeGrantee!$H$44+PrimeGrantee!$H$46</f>
        <v>12850</v>
      </c>
      <c r="D8">
        <f>PrimeGrantee!$I$44+PrimeGrantee!$I$46</f>
        <v>4850</v>
      </c>
      <c r="E8">
        <f>PrimeGrantee!$J$44+PrimeGrantee!$J$46</f>
        <v>4850</v>
      </c>
      <c r="F8">
        <f>PrimeGrantee!$K$44+PrimeGrantee!$K$46</f>
        <v>4850</v>
      </c>
      <c r="G8">
        <f>PrimeGrantee!$L$44+PrimeGrantee!$L$46</f>
        <v>4850</v>
      </c>
      <c r="H8">
        <f t="shared" si="0"/>
        <v>32250</v>
      </c>
    </row>
    <row r="9" spans="1:8">
      <c r="A9" s="147">
        <v>570000</v>
      </c>
      <c r="B9" s="147" t="s">
        <v>151</v>
      </c>
      <c r="C9">
        <f>PrimeGrantee!H40</f>
        <v>20000</v>
      </c>
      <c r="D9">
        <f>PrimeGrantee!I40</f>
        <v>0</v>
      </c>
      <c r="E9">
        <f>PrimeGrantee!J40</f>
        <v>0</v>
      </c>
      <c r="F9">
        <f>PrimeGrantee!K40</f>
        <v>0</v>
      </c>
      <c r="G9">
        <f>PrimeGrantee!L40</f>
        <v>0</v>
      </c>
      <c r="H9">
        <f t="shared" si="0"/>
        <v>20000</v>
      </c>
    </row>
    <row r="10" spans="1:8">
      <c r="A10" s="147">
        <v>590000</v>
      </c>
      <c r="B10" s="147" t="s">
        <v>152</v>
      </c>
      <c r="C10">
        <f>PrimeGrantee!H54</f>
        <v>207086</v>
      </c>
      <c r="D10">
        <f>PrimeGrantee!I54</f>
        <v>214458</v>
      </c>
      <c r="E10">
        <f>PrimeGrantee!J54</f>
        <v>211982</v>
      </c>
      <c r="F10">
        <f>PrimeGrantee!K54</f>
        <v>215531</v>
      </c>
      <c r="G10">
        <f>PrimeGrantee!L54</f>
        <v>221997</v>
      </c>
      <c r="H10">
        <f t="shared" si="0"/>
        <v>1071054</v>
      </c>
    </row>
    <row r="11" spans="1:8">
      <c r="A11" s="150" t="s">
        <v>161</v>
      </c>
      <c r="H11">
        <f>SUM(H2:H10)</f>
        <v>3337903.59604662</v>
      </c>
    </row>
    <row r="12" spans="1:8">
      <c r="A12" s="150" t="s">
        <v>162</v>
      </c>
      <c r="H12">
        <f>PrimeGrantee!$M$55</f>
        <v>3337903.5960466205</v>
      </c>
    </row>
    <row r="13" spans="1:8">
      <c r="A13" s="150" t="s">
        <v>163</v>
      </c>
      <c r="H13">
        <f>H11-H12</f>
        <v>0</v>
      </c>
    </row>
    <row r="18" spans="1:1" ht="14.25">
      <c r="A18" s="179" t="s">
        <v>167</v>
      </c>
    </row>
    <row r="19" spans="1:1" ht="14.25">
      <c r="A19" s="179" t="s">
        <v>168</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4"/>
  <sheetViews>
    <sheetView view="pageBreakPreview" zoomScale="75" zoomScaleNormal="100" workbookViewId="0">
      <selection activeCell="L16" sqref="L16"/>
    </sheetView>
  </sheetViews>
  <sheetFormatPr defaultColWidth="9.7109375" defaultRowHeight="12.75"/>
  <cols>
    <col min="1" max="1" width="35.28515625" style="1" customWidth="1"/>
    <col min="2" max="2" width="14.7109375" style="1" customWidth="1"/>
    <col min="3" max="3" width="7.5703125" style="1" bestFit="1" customWidth="1"/>
    <col min="4" max="4" width="8.7109375"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15.75">
      <c r="A1" s="63" t="s">
        <v>33</v>
      </c>
    </row>
    <row r="2" spans="1:15" ht="15.75">
      <c r="A2" s="87" t="s">
        <v>51</v>
      </c>
      <c r="B2" s="88"/>
    </row>
    <row r="3" spans="1:15" s="3" customFormat="1">
      <c r="A3" s="62" t="s">
        <v>0</v>
      </c>
      <c r="B3" s="2"/>
      <c r="C3" s="2"/>
      <c r="D3" s="5" t="s">
        <v>121</v>
      </c>
      <c r="G3" s="59"/>
      <c r="J3" s="1"/>
      <c r="K3" s="1"/>
      <c r="L3" s="1" t="s">
        <v>60</v>
      </c>
      <c r="M3" s="92">
        <v>225700</v>
      </c>
    </row>
    <row r="4" spans="1:15" s="3" customFormat="1" ht="15.75">
      <c r="A4" s="118" t="s">
        <v>166</v>
      </c>
      <c r="B4" s="1"/>
      <c r="C4" s="1"/>
      <c r="D4" s="4"/>
      <c r="G4" s="59"/>
      <c r="J4" s="1"/>
      <c r="K4" s="1"/>
      <c r="L4" s="1" t="s">
        <v>65</v>
      </c>
      <c r="M4" s="93">
        <v>0.03</v>
      </c>
    </row>
    <row r="5" spans="1:15" s="3" customFormat="1" ht="15.75">
      <c r="A5" s="118" t="s">
        <v>32</v>
      </c>
      <c r="B5" s="1"/>
      <c r="C5" s="1"/>
      <c r="D5" s="4"/>
      <c r="G5" s="59"/>
      <c r="J5" s="1"/>
      <c r="K5" s="1"/>
      <c r="L5" s="1" t="s">
        <v>62</v>
      </c>
      <c r="M5" s="98">
        <v>12</v>
      </c>
    </row>
    <row r="6" spans="1:15" s="3" customFormat="1">
      <c r="A6" s="5"/>
      <c r="D6" s="60"/>
      <c r="G6" s="61"/>
    </row>
    <row r="7" spans="1:15" s="3" customFormat="1" ht="15.75">
      <c r="A7" s="4"/>
      <c r="D7" s="60"/>
      <c r="G7" s="61"/>
    </row>
    <row r="8" spans="1:15" ht="15" customHeight="1">
      <c r="A8" s="71" t="s">
        <v>40</v>
      </c>
      <c r="B8" s="72"/>
      <c r="C8" s="72"/>
      <c r="D8" s="73"/>
      <c r="E8" s="74" t="s">
        <v>1</v>
      </c>
      <c r="F8" s="74"/>
      <c r="G8" s="75"/>
      <c r="H8" s="76" t="s">
        <v>2</v>
      </c>
      <c r="K8" s="4"/>
    </row>
    <row r="9" spans="1:15" ht="20.100000000000001" customHeight="1">
      <c r="A9" s="77"/>
      <c r="B9" s="85"/>
      <c r="C9" s="85"/>
      <c r="D9" s="78"/>
      <c r="E9" s="79">
        <v>44531</v>
      </c>
      <c r="F9" s="79"/>
      <c r="G9" s="80"/>
      <c r="H9" s="81">
        <v>46356</v>
      </c>
    </row>
    <row r="10" spans="1:15" s="3" customFormat="1">
      <c r="A10" s="83" t="s">
        <v>3</v>
      </c>
      <c r="B10" s="44"/>
      <c r="C10" s="101"/>
      <c r="D10" s="49" t="s">
        <v>63</v>
      </c>
      <c r="E10" s="51" t="s">
        <v>4</v>
      </c>
      <c r="F10" s="51"/>
      <c r="G10" s="52" t="s">
        <v>63</v>
      </c>
      <c r="H10" s="154">
        <v>0.95454545454545459</v>
      </c>
      <c r="I10" s="55">
        <v>0.95652173913043481</v>
      </c>
      <c r="J10" s="55">
        <v>0.95833333333333337</v>
      </c>
      <c r="K10" s="64">
        <v>0.96</v>
      </c>
      <c r="L10" s="64">
        <v>0.96153846153846156</v>
      </c>
      <c r="M10" s="67"/>
    </row>
    <row r="11" spans="1:15" ht="12.75" customHeight="1">
      <c r="A11" s="47"/>
      <c r="B11" s="50" t="s">
        <v>5</v>
      </c>
      <c r="C11" s="102" t="s">
        <v>61</v>
      </c>
      <c r="D11" s="49" t="s">
        <v>39</v>
      </c>
      <c r="E11" s="51" t="s">
        <v>6</v>
      </c>
      <c r="F11" s="51" t="s">
        <v>61</v>
      </c>
      <c r="G11" s="52" t="s">
        <v>39</v>
      </c>
      <c r="H11" s="56" t="s">
        <v>7</v>
      </c>
      <c r="I11" s="56" t="s">
        <v>8</v>
      </c>
      <c r="J11" s="56" t="s">
        <v>9</v>
      </c>
      <c r="K11" s="56" t="s">
        <v>10</v>
      </c>
      <c r="L11" s="58" t="s">
        <v>11</v>
      </c>
      <c r="M11" s="68" t="s">
        <v>12</v>
      </c>
    </row>
    <row r="12" spans="1:15" s="3" customFormat="1" ht="12" customHeight="1">
      <c r="A12" s="48" t="s">
        <v>13</v>
      </c>
      <c r="B12" s="46" t="s">
        <v>12</v>
      </c>
      <c r="C12" s="103" t="s">
        <v>43</v>
      </c>
      <c r="D12" s="84" t="s">
        <v>43</v>
      </c>
      <c r="E12" s="48" t="s">
        <v>14</v>
      </c>
      <c r="F12" s="48" t="s">
        <v>15</v>
      </c>
      <c r="G12" s="53" t="s">
        <v>15</v>
      </c>
      <c r="H12" s="57" t="s">
        <v>16</v>
      </c>
      <c r="I12" s="57" t="s">
        <v>16</v>
      </c>
      <c r="J12" s="57" t="s">
        <v>16</v>
      </c>
      <c r="K12" s="57" t="s">
        <v>16</v>
      </c>
      <c r="L12" s="65" t="s">
        <v>17</v>
      </c>
      <c r="M12" s="57" t="s">
        <v>16</v>
      </c>
    </row>
    <row r="13" spans="1:15" ht="17.100000000000001" customHeight="1">
      <c r="A13" s="155" t="s">
        <v>131</v>
      </c>
      <c r="B13" s="45" t="s">
        <v>52</v>
      </c>
      <c r="C13" s="94">
        <v>0.05</v>
      </c>
      <c r="D13" s="100">
        <f t="shared" ref="D13:D21" si="0">C13*$M$5</f>
        <v>0.60000000000000009</v>
      </c>
      <c r="E13" s="45">
        <v>60000</v>
      </c>
      <c r="F13" s="94">
        <v>0.05</v>
      </c>
      <c r="G13" s="99">
        <f t="shared" ref="G13:G21" si="1">F13*$M$5</f>
        <v>0.60000000000000009</v>
      </c>
      <c r="H13" s="14">
        <f>IF(E13&gt;PrimeGrantee!$M$4,PrimeGrantee!$M$4*(G13/12),E13*(G13/12))</f>
        <v>3000.0000000000005</v>
      </c>
      <c r="I13" s="54">
        <f t="shared" ref="I13:L21" si="2">H13*(1+$M$4)</f>
        <v>3090.0000000000005</v>
      </c>
      <c r="J13" s="54">
        <f t="shared" si="2"/>
        <v>3182.7000000000007</v>
      </c>
      <c r="K13" s="54">
        <f t="shared" si="2"/>
        <v>3278.1810000000009</v>
      </c>
      <c r="L13" s="54">
        <f t="shared" si="2"/>
        <v>3376.5264300000013</v>
      </c>
      <c r="M13" s="66"/>
    </row>
    <row r="14" spans="1:15" ht="26.25" customHeight="1">
      <c r="A14" s="11" t="s">
        <v>53</v>
      </c>
      <c r="B14" s="15" t="s">
        <v>26</v>
      </c>
      <c r="C14" s="94">
        <v>0.05</v>
      </c>
      <c r="D14" s="100">
        <f t="shared" si="0"/>
        <v>0.60000000000000009</v>
      </c>
      <c r="E14" s="11">
        <v>33000</v>
      </c>
      <c r="F14" s="94">
        <v>0.05</v>
      </c>
      <c r="G14" s="99">
        <f t="shared" si="1"/>
        <v>0.60000000000000009</v>
      </c>
      <c r="H14" s="14">
        <f>IF(E14&gt;PrimeGrantee!$M$4,PrimeGrantee!$M$4*(G14/12),E14*(G14/12))</f>
        <v>1650.0000000000002</v>
      </c>
      <c r="I14" s="54">
        <f t="shared" si="2"/>
        <v>1699.5000000000002</v>
      </c>
      <c r="J14" s="54">
        <f t="shared" si="2"/>
        <v>1750.4850000000004</v>
      </c>
      <c r="K14" s="54">
        <f t="shared" si="2"/>
        <v>1802.9995500000005</v>
      </c>
      <c r="L14" s="54">
        <f t="shared" si="2"/>
        <v>1857.0895365000006</v>
      </c>
      <c r="M14" s="11"/>
      <c r="O14" s="1" t="s">
        <v>25</v>
      </c>
    </row>
    <row r="15" spans="1:15" ht="15">
      <c r="A15" s="11"/>
      <c r="B15" s="15"/>
      <c r="C15" s="94"/>
      <c r="D15" s="100">
        <f t="shared" si="0"/>
        <v>0</v>
      </c>
      <c r="E15" s="11"/>
      <c r="F15" s="94"/>
      <c r="G15" s="99">
        <f t="shared" si="1"/>
        <v>0</v>
      </c>
      <c r="H15" s="14">
        <f>IF(E15&gt;PrimeGrantee!$M$4,PrimeGrantee!$M$4*(G15/12),E15*(G15/12))</f>
        <v>0</v>
      </c>
      <c r="I15" s="54">
        <f t="shared" si="2"/>
        <v>0</v>
      </c>
      <c r="J15" s="54">
        <f t="shared" si="2"/>
        <v>0</v>
      </c>
      <c r="K15" s="54">
        <f t="shared" si="2"/>
        <v>0</v>
      </c>
      <c r="L15" s="54">
        <f t="shared" si="2"/>
        <v>0</v>
      </c>
      <c r="M15" s="11"/>
    </row>
    <row r="16" spans="1:15" ht="17.100000000000001" customHeight="1">
      <c r="A16" s="9"/>
      <c r="B16" s="9"/>
      <c r="C16" s="95"/>
      <c r="D16" s="100">
        <f t="shared" si="0"/>
        <v>0</v>
      </c>
      <c r="E16" s="9"/>
      <c r="F16" s="95"/>
      <c r="G16" s="99">
        <f t="shared" si="1"/>
        <v>0</v>
      </c>
      <c r="H16" s="14">
        <f>IF(E16&gt;PrimeGrantee!$M$4,PrimeGrantee!$M$4*(G16/12),E16*(G16/12))</f>
        <v>0</v>
      </c>
      <c r="I16" s="54">
        <f t="shared" si="2"/>
        <v>0</v>
      </c>
      <c r="J16" s="54">
        <f t="shared" si="2"/>
        <v>0</v>
      </c>
      <c r="K16" s="54">
        <f t="shared" si="2"/>
        <v>0</v>
      </c>
      <c r="L16" s="54">
        <f t="shared" si="2"/>
        <v>0</v>
      </c>
      <c r="M16" s="11"/>
    </row>
    <row r="17" spans="1:20" ht="17.100000000000001" customHeight="1">
      <c r="A17" s="9"/>
      <c r="B17" s="9"/>
      <c r="C17" s="95"/>
      <c r="D17" s="100">
        <f t="shared" si="0"/>
        <v>0</v>
      </c>
      <c r="E17" s="9"/>
      <c r="F17" s="95"/>
      <c r="G17" s="99">
        <f t="shared" si="1"/>
        <v>0</v>
      </c>
      <c r="H17" s="14">
        <f>IF(E17&gt;PrimeGrantee!$M$4,PrimeGrantee!$M$4*(G17/12),E17*(G17/12))</f>
        <v>0</v>
      </c>
      <c r="I17" s="54">
        <f t="shared" si="2"/>
        <v>0</v>
      </c>
      <c r="J17" s="54">
        <f t="shared" si="2"/>
        <v>0</v>
      </c>
      <c r="K17" s="54">
        <f t="shared" si="2"/>
        <v>0</v>
      </c>
      <c r="L17" s="54">
        <f t="shared" si="2"/>
        <v>0</v>
      </c>
      <c r="M17" s="11"/>
    </row>
    <row r="18" spans="1:20" ht="17.100000000000001" customHeight="1">
      <c r="A18" s="11"/>
      <c r="B18" s="11"/>
      <c r="C18" s="96"/>
      <c r="D18" s="100">
        <f t="shared" si="0"/>
        <v>0</v>
      </c>
      <c r="E18" s="11"/>
      <c r="F18" s="96"/>
      <c r="G18" s="99">
        <f t="shared" si="1"/>
        <v>0</v>
      </c>
      <c r="H18" s="14">
        <f>IF(E18&gt;PrimeGrantee!$M$4,PrimeGrantee!$M$4*(G18/12),E18*(G18/12))</f>
        <v>0</v>
      </c>
      <c r="I18" s="54">
        <f t="shared" si="2"/>
        <v>0</v>
      </c>
      <c r="J18" s="54">
        <f t="shared" si="2"/>
        <v>0</v>
      </c>
      <c r="K18" s="54">
        <f t="shared" si="2"/>
        <v>0</v>
      </c>
      <c r="L18" s="54">
        <f t="shared" si="2"/>
        <v>0</v>
      </c>
      <c r="M18" s="11"/>
    </row>
    <row r="19" spans="1:20" ht="17.100000000000001" customHeight="1">
      <c r="A19" s="11"/>
      <c r="B19" s="11"/>
      <c r="C19" s="96"/>
      <c r="D19" s="100">
        <f t="shared" si="0"/>
        <v>0</v>
      </c>
      <c r="E19" s="11"/>
      <c r="F19" s="96"/>
      <c r="G19" s="99">
        <f t="shared" si="1"/>
        <v>0</v>
      </c>
      <c r="H19" s="14">
        <f>IF(E19&gt;PrimeGrantee!$M$4,PrimeGrantee!$M$4*(G19/12),E19*(G19/12))</f>
        <v>0</v>
      </c>
      <c r="I19" s="54">
        <f t="shared" si="2"/>
        <v>0</v>
      </c>
      <c r="J19" s="54">
        <f t="shared" si="2"/>
        <v>0</v>
      </c>
      <c r="K19" s="54">
        <f t="shared" si="2"/>
        <v>0</v>
      </c>
      <c r="L19" s="54">
        <f t="shared" si="2"/>
        <v>0</v>
      </c>
      <c r="M19" s="11"/>
    </row>
    <row r="20" spans="1:20" ht="17.100000000000001" customHeight="1">
      <c r="A20" s="11"/>
      <c r="B20" s="11"/>
      <c r="C20" s="96"/>
      <c r="D20" s="100">
        <f t="shared" si="0"/>
        <v>0</v>
      </c>
      <c r="E20" s="11"/>
      <c r="F20" s="96"/>
      <c r="G20" s="99">
        <f t="shared" si="1"/>
        <v>0</v>
      </c>
      <c r="H20" s="14">
        <f>IF(E20&gt;PrimeGrantee!$M$4,PrimeGrantee!$M$4*(G20/12),E20*(G20/12))</f>
        <v>0</v>
      </c>
      <c r="I20" s="54">
        <f t="shared" si="2"/>
        <v>0</v>
      </c>
      <c r="J20" s="54">
        <f t="shared" si="2"/>
        <v>0</v>
      </c>
      <c r="K20" s="54">
        <f t="shared" si="2"/>
        <v>0</v>
      </c>
      <c r="L20" s="54">
        <f t="shared" si="2"/>
        <v>0</v>
      </c>
      <c r="M20" s="11"/>
    </row>
    <row r="21" spans="1:20" ht="17.100000000000001" customHeight="1">
      <c r="A21" s="11"/>
      <c r="B21" s="11"/>
      <c r="C21" s="96"/>
      <c r="D21" s="100">
        <f t="shared" si="0"/>
        <v>0</v>
      </c>
      <c r="E21" s="11"/>
      <c r="F21" s="96"/>
      <c r="G21" s="99">
        <f t="shared" si="1"/>
        <v>0</v>
      </c>
      <c r="H21" s="14">
        <f>IF(E21&gt;PrimeGrantee!$M$4,PrimeGrantee!$M$4*(G21/12),E21*(G21/12))</f>
        <v>0</v>
      </c>
      <c r="I21" s="54">
        <f t="shared" si="2"/>
        <v>0</v>
      </c>
      <c r="J21" s="54">
        <f t="shared" si="2"/>
        <v>0</v>
      </c>
      <c r="K21" s="54">
        <f t="shared" si="2"/>
        <v>0</v>
      </c>
      <c r="L21" s="54">
        <f t="shared" si="2"/>
        <v>0</v>
      </c>
      <c r="M21" s="11"/>
    </row>
    <row r="22" spans="1:20" ht="17.100000000000001" customHeight="1">
      <c r="A22" s="16"/>
      <c r="B22" s="17"/>
      <c r="C22" s="97"/>
      <c r="D22" s="29"/>
      <c r="E22" s="17"/>
      <c r="F22" s="17"/>
      <c r="G22" s="37"/>
      <c r="H22" s="14"/>
      <c r="I22" s="11"/>
      <c r="J22" s="11"/>
      <c r="K22" s="11"/>
      <c r="L22" s="11"/>
      <c r="M22" s="11"/>
    </row>
    <row r="23" spans="1:20" ht="17.100000000000001" customHeight="1">
      <c r="A23" s="11"/>
      <c r="B23" s="11"/>
      <c r="C23" s="11"/>
      <c r="D23" s="26"/>
      <c r="E23" s="11"/>
      <c r="F23" s="11"/>
      <c r="G23" s="35"/>
      <c r="H23" s="14"/>
      <c r="I23" s="11"/>
      <c r="J23" s="11"/>
      <c r="K23" s="11"/>
      <c r="L23" s="11"/>
      <c r="M23" s="11"/>
    </row>
    <row r="24" spans="1:20" ht="17.100000000000001" customHeight="1">
      <c r="A24" s="69" t="s">
        <v>18</v>
      </c>
      <c r="B24" s="11"/>
      <c r="C24" s="11"/>
      <c r="D24" s="26"/>
      <c r="E24" s="11"/>
      <c r="F24" s="11"/>
      <c r="G24" s="35"/>
      <c r="H24" s="10">
        <f>SUM(H13:H23)</f>
        <v>4650.0000000000009</v>
      </c>
      <c r="I24" s="10">
        <f>SUM(I13:I23)</f>
        <v>4789.5000000000009</v>
      </c>
      <c r="J24" s="10">
        <f>SUM(J13:J23)</f>
        <v>4933.1850000000013</v>
      </c>
      <c r="K24" s="10">
        <f>SUM(K13:K23)</f>
        <v>5081.1805500000009</v>
      </c>
      <c r="L24" s="10">
        <f>SUM(L13:L23)</f>
        <v>5233.6159665000014</v>
      </c>
      <c r="M24" s="10">
        <f>SUM(H24:L24)</f>
        <v>24687.481516500004</v>
      </c>
    </row>
    <row r="25" spans="1:20" ht="23.25">
      <c r="A25" s="70" t="s">
        <v>54</v>
      </c>
      <c r="B25" s="12"/>
      <c r="C25" s="12"/>
      <c r="D25" s="30"/>
      <c r="E25" s="12"/>
      <c r="F25" s="12"/>
      <c r="G25" s="38"/>
      <c r="H25" s="10">
        <f>ROUND(((H13+H14+H15+H16+H17)*29%)+((H18+H19)*0.4%)+((H20+H21)*13.9%), 0)</f>
        <v>1349</v>
      </c>
      <c r="I25" s="10">
        <f>ROUND(((I13+I14+I15+I16+I17)*29%)+((I18+I19)*0.4%)+((I20+I21)*13.9%), 0)</f>
        <v>1389</v>
      </c>
      <c r="J25" s="10">
        <f>ROUND(((J13+J14+J15+J16+J17)*29%)+((J18+J19)*0.4%)+((J20+J21)*13.9%), 0)</f>
        <v>1431</v>
      </c>
      <c r="K25" s="10">
        <f>ROUND(((K13+K14+K15+K16+K17)*29%)+((K18+K19)*0.4%)+((K20+K21)*13.9%), 0)</f>
        <v>1474</v>
      </c>
      <c r="L25" s="10">
        <f>ROUND(((L13+L14+L15+L16+L17)*29%)+((L18+L19)*0.4%)+((L20+L21)*13.9%), 0)</f>
        <v>1518</v>
      </c>
      <c r="M25" s="10">
        <f>SUM(H25:L25)</f>
        <v>7161</v>
      </c>
      <c r="O25" s="1" t="s">
        <v>25</v>
      </c>
    </row>
    <row r="26" spans="1:20" ht="23.25" customHeight="1">
      <c r="A26" s="70" t="s">
        <v>19</v>
      </c>
      <c r="B26" s="11"/>
      <c r="C26" s="11"/>
      <c r="D26" s="26"/>
      <c r="E26" s="11" t="s">
        <v>28</v>
      </c>
      <c r="F26" s="11"/>
      <c r="G26" s="35"/>
      <c r="H26" s="10"/>
      <c r="I26" s="10"/>
      <c r="J26" s="10"/>
      <c r="K26" s="10"/>
      <c r="L26" s="10"/>
      <c r="M26" s="10"/>
      <c r="O26" s="1" t="s">
        <v>25</v>
      </c>
    </row>
    <row r="27" spans="1:20" ht="13.15" customHeight="1">
      <c r="A27" s="11" t="s">
        <v>58</v>
      </c>
      <c r="B27" s="11"/>
      <c r="C27" s="11"/>
      <c r="D27" s="26"/>
      <c r="E27" s="11"/>
      <c r="F27" s="11"/>
      <c r="G27" s="35"/>
      <c r="H27" s="10">
        <v>1500</v>
      </c>
      <c r="I27" s="10">
        <f>H27*1.03</f>
        <v>1545</v>
      </c>
      <c r="J27" s="10">
        <f>I27*1.03</f>
        <v>1591.3500000000001</v>
      </c>
      <c r="K27" s="10">
        <f>J27*1.03</f>
        <v>1639.0905000000002</v>
      </c>
      <c r="L27" s="10">
        <f>K27*1.03</f>
        <v>1688.2632150000004</v>
      </c>
      <c r="M27" s="10">
        <f>SUM(H27:L27)</f>
        <v>7963.7037150000015</v>
      </c>
      <c r="O27" s="1" t="s">
        <v>25</v>
      </c>
    </row>
    <row r="28" spans="1:20" s="3" customFormat="1" ht="20.100000000000001" customHeight="1">
      <c r="A28" s="69" t="s">
        <v>141</v>
      </c>
      <c r="B28" s="11"/>
      <c r="C28" s="11"/>
      <c r="D28" s="26"/>
      <c r="E28" s="11"/>
      <c r="F28" s="11"/>
      <c r="G28" s="35"/>
      <c r="H28" s="10"/>
      <c r="I28" s="10"/>
      <c r="J28" s="10"/>
      <c r="K28" s="10"/>
      <c r="L28" s="10"/>
      <c r="M28" s="10"/>
      <c r="N28" s="1"/>
      <c r="O28" s="5"/>
      <c r="P28" s="5"/>
      <c r="Q28" s="5"/>
      <c r="R28" s="5"/>
      <c r="S28" s="5"/>
      <c r="T28" s="5"/>
    </row>
    <row r="29" spans="1:20" s="3" customFormat="1" ht="20.100000000000001" customHeight="1">
      <c r="A29" s="11"/>
      <c r="B29" s="18"/>
      <c r="C29" s="18"/>
      <c r="D29" s="31"/>
      <c r="E29" s="13"/>
      <c r="F29" s="13"/>
      <c r="G29" s="40"/>
      <c r="H29" s="10">
        <v>0</v>
      </c>
      <c r="I29" s="10">
        <v>0</v>
      </c>
      <c r="J29" s="10">
        <v>0</v>
      </c>
      <c r="K29" s="10">
        <v>0</v>
      </c>
      <c r="L29" s="10">
        <v>0</v>
      </c>
      <c r="M29" s="10">
        <f>SUM(H29:L29)</f>
        <v>0</v>
      </c>
      <c r="N29" s="1"/>
      <c r="O29" s="5"/>
      <c r="P29" s="5"/>
      <c r="Q29" s="5"/>
      <c r="R29" s="5"/>
      <c r="S29" s="5"/>
      <c r="T29" s="5"/>
    </row>
    <row r="30" spans="1:20" s="3" customFormat="1" ht="20.100000000000001" customHeight="1">
      <c r="A30" s="69" t="s">
        <v>44</v>
      </c>
      <c r="B30" s="6"/>
      <c r="C30" s="6"/>
      <c r="D30" s="27"/>
      <c r="E30" s="7"/>
      <c r="F30" s="7"/>
      <c r="G30" s="39"/>
      <c r="H30" s="10"/>
      <c r="I30" s="10"/>
      <c r="J30" s="10"/>
      <c r="K30" s="10"/>
      <c r="L30" s="10"/>
      <c r="M30" s="10"/>
      <c r="N30" s="1"/>
      <c r="O30" s="5" t="s">
        <v>25</v>
      </c>
      <c r="P30" s="5"/>
      <c r="Q30" s="5"/>
      <c r="R30" s="5"/>
      <c r="S30" s="5"/>
      <c r="T30" s="5"/>
    </row>
    <row r="31" spans="1:20" s="3" customFormat="1" ht="13.15" customHeight="1">
      <c r="A31" s="9"/>
      <c r="B31" s="9"/>
      <c r="C31" s="9"/>
      <c r="D31" s="28"/>
      <c r="E31" s="9"/>
      <c r="F31" s="9"/>
      <c r="G31" s="36"/>
      <c r="H31" s="10">
        <v>0</v>
      </c>
      <c r="I31" s="10">
        <v>0</v>
      </c>
      <c r="J31" s="10">
        <v>0</v>
      </c>
      <c r="K31" s="10">
        <v>0</v>
      </c>
      <c r="L31" s="10">
        <v>0</v>
      </c>
      <c r="M31" s="10">
        <f>SUM(H31:L31)</f>
        <v>0</v>
      </c>
      <c r="N31" s="1"/>
      <c r="O31" s="5" t="s">
        <v>25</v>
      </c>
      <c r="P31" s="5"/>
      <c r="Q31" s="5"/>
      <c r="R31" s="5"/>
      <c r="S31" s="5"/>
      <c r="T31" s="5"/>
    </row>
    <row r="32" spans="1:20" ht="13.15" customHeight="1">
      <c r="A32" s="69" t="s">
        <v>45</v>
      </c>
      <c r="B32" s="11"/>
      <c r="C32" s="11"/>
      <c r="D32" s="26"/>
      <c r="E32" s="11"/>
      <c r="F32" s="11"/>
      <c r="G32" s="35"/>
      <c r="H32" s="10"/>
      <c r="I32" s="10"/>
      <c r="J32" s="10"/>
      <c r="K32" s="10"/>
      <c r="L32" s="10"/>
      <c r="M32" s="10"/>
      <c r="O32" s="1" t="s">
        <v>25</v>
      </c>
    </row>
    <row r="33" spans="1:15" ht="20.100000000000001" customHeight="1">
      <c r="A33" s="11"/>
      <c r="B33" s="18"/>
      <c r="C33" s="18"/>
      <c r="D33" s="31"/>
      <c r="E33" s="13"/>
      <c r="F33" s="13"/>
      <c r="G33" s="40"/>
      <c r="H33" s="10">
        <v>0</v>
      </c>
      <c r="I33" s="10">
        <v>0</v>
      </c>
      <c r="J33" s="10">
        <v>0</v>
      </c>
      <c r="K33" s="10">
        <v>0</v>
      </c>
      <c r="L33" s="10">
        <v>0</v>
      </c>
      <c r="M33" s="10">
        <f>SUM(H33:L33)</f>
        <v>0</v>
      </c>
    </row>
    <row r="34" spans="1:15" ht="13.15" customHeight="1">
      <c r="A34" s="69" t="s">
        <v>46</v>
      </c>
      <c r="B34" s="11"/>
      <c r="C34" s="11"/>
      <c r="D34" s="26"/>
      <c r="E34" s="11"/>
      <c r="F34" s="11"/>
      <c r="G34" s="35"/>
      <c r="H34" s="10"/>
      <c r="I34" s="10"/>
      <c r="J34" s="10"/>
      <c r="K34" s="10"/>
      <c r="L34" s="10"/>
      <c r="M34" s="10"/>
      <c r="O34" s="1" t="s">
        <v>25</v>
      </c>
    </row>
    <row r="35" spans="1:15" ht="20.100000000000001" customHeight="1">
      <c r="A35" s="11"/>
      <c r="B35" s="18"/>
      <c r="C35" s="18"/>
      <c r="D35" s="31"/>
      <c r="E35" s="13"/>
      <c r="F35" s="13"/>
      <c r="G35" s="40"/>
      <c r="H35" s="10">
        <v>0</v>
      </c>
      <c r="I35" s="10">
        <v>0</v>
      </c>
      <c r="J35" s="10">
        <v>0</v>
      </c>
      <c r="K35" s="10">
        <v>0</v>
      </c>
      <c r="L35" s="10">
        <v>0</v>
      </c>
      <c r="M35" s="10">
        <f>SUM(H35:L35)</f>
        <v>0</v>
      </c>
    </row>
    <row r="36" spans="1:15" ht="13.15" customHeight="1">
      <c r="A36" s="69" t="s">
        <v>47</v>
      </c>
      <c r="B36" s="11"/>
      <c r="C36" s="11"/>
      <c r="D36" s="26"/>
      <c r="E36" s="11"/>
      <c r="F36" s="11"/>
      <c r="G36" s="35"/>
      <c r="H36" s="10"/>
      <c r="I36" s="10"/>
      <c r="J36" s="10"/>
      <c r="K36" s="10"/>
      <c r="L36" s="10"/>
      <c r="M36" s="10"/>
      <c r="O36" s="1" t="s">
        <v>25</v>
      </c>
    </row>
    <row r="37" spans="1:15" ht="20.100000000000001" customHeight="1">
      <c r="A37" s="11"/>
      <c r="B37" s="18"/>
      <c r="C37" s="18"/>
      <c r="D37" s="31"/>
      <c r="E37" s="13"/>
      <c r="F37" s="13"/>
      <c r="G37" s="40"/>
      <c r="H37" s="10">
        <v>0</v>
      </c>
      <c r="I37" s="10">
        <v>0</v>
      </c>
      <c r="J37" s="10">
        <v>0</v>
      </c>
      <c r="K37" s="10">
        <v>0</v>
      </c>
      <c r="L37" s="10">
        <v>0</v>
      </c>
      <c r="M37" s="10">
        <f>SUM(H37:L37)</f>
        <v>0</v>
      </c>
    </row>
    <row r="38" spans="1:15" ht="14.1" customHeight="1">
      <c r="A38" s="69" t="s">
        <v>42</v>
      </c>
      <c r="B38" s="19" t="s">
        <v>20</v>
      </c>
      <c r="C38" s="19"/>
      <c r="D38" s="32" t="s">
        <v>21</v>
      </c>
      <c r="E38" s="19" t="s">
        <v>41</v>
      </c>
      <c r="F38" s="19"/>
      <c r="G38" s="41" t="s">
        <v>17</v>
      </c>
      <c r="H38" s="10"/>
      <c r="I38" s="10"/>
      <c r="J38" s="10"/>
      <c r="K38" s="10"/>
      <c r="L38" s="10"/>
      <c r="M38" s="10"/>
      <c r="O38" s="1" t="s">
        <v>25</v>
      </c>
    </row>
    <row r="39" spans="1:15" ht="20.100000000000001" customHeight="1">
      <c r="A39" s="11"/>
      <c r="B39" s="20">
        <v>0</v>
      </c>
      <c r="C39" s="20"/>
      <c r="D39" s="24"/>
      <c r="E39" s="20">
        <f>B39*D39</f>
        <v>0</v>
      </c>
      <c r="F39" s="20"/>
      <c r="G39" s="89">
        <f>B39+E39</f>
        <v>0</v>
      </c>
      <c r="H39" s="21">
        <f>IF(G39&gt;25000,25000,+G39)</f>
        <v>0</v>
      </c>
      <c r="I39" s="10">
        <f>B39*1.03</f>
        <v>0</v>
      </c>
      <c r="J39" s="10">
        <f t="shared" ref="J39:L41" si="3">I39*1.03</f>
        <v>0</v>
      </c>
      <c r="K39" s="10">
        <f t="shared" si="3"/>
        <v>0</v>
      </c>
      <c r="L39" s="10">
        <f t="shared" si="3"/>
        <v>0</v>
      </c>
      <c r="M39" s="10"/>
    </row>
    <row r="40" spans="1:15" ht="20.100000000000001" customHeight="1">
      <c r="A40" s="11"/>
      <c r="B40" s="20">
        <v>0</v>
      </c>
      <c r="C40" s="20"/>
      <c r="D40" s="24"/>
      <c r="E40" s="20">
        <f>D40*B40</f>
        <v>0</v>
      </c>
      <c r="F40" s="20"/>
      <c r="G40" s="35">
        <f>B40+E40</f>
        <v>0</v>
      </c>
      <c r="H40" s="21">
        <f>IF(G40&gt;25000,25000,+G40)</f>
        <v>0</v>
      </c>
      <c r="I40" s="10">
        <f>B40*1.03</f>
        <v>0</v>
      </c>
      <c r="J40" s="10">
        <f t="shared" si="3"/>
        <v>0</v>
      </c>
      <c r="K40" s="10">
        <f t="shared" si="3"/>
        <v>0</v>
      </c>
      <c r="L40" s="10">
        <f t="shared" si="3"/>
        <v>0</v>
      </c>
      <c r="M40" s="10"/>
    </row>
    <row r="41" spans="1:15" ht="20.100000000000001" customHeight="1">
      <c r="A41" s="69" t="s">
        <v>34</v>
      </c>
      <c r="B41" s="18"/>
      <c r="C41" s="18"/>
      <c r="D41" s="31"/>
      <c r="E41" s="13"/>
      <c r="F41" s="13"/>
      <c r="G41" s="40"/>
      <c r="H41" s="10">
        <f>B39+B40</f>
        <v>0</v>
      </c>
      <c r="I41" s="10">
        <f>H41*1.03</f>
        <v>0</v>
      </c>
      <c r="J41" s="10">
        <f t="shared" si="3"/>
        <v>0</v>
      </c>
      <c r="K41" s="10">
        <f t="shared" si="3"/>
        <v>0</v>
      </c>
      <c r="L41" s="10">
        <f t="shared" si="3"/>
        <v>0</v>
      </c>
      <c r="M41" s="10">
        <f t="shared" ref="M41:M46" si="4">SUM(H41:L41)</f>
        <v>0</v>
      </c>
    </row>
    <row r="42" spans="1:15" ht="20.100000000000001" customHeight="1">
      <c r="A42" s="69" t="s">
        <v>24</v>
      </c>
      <c r="B42" s="8"/>
      <c r="C42" s="8"/>
      <c r="D42" s="33"/>
      <c r="E42" s="7"/>
      <c r="F42" s="7"/>
      <c r="G42" s="39"/>
      <c r="H42" s="10">
        <f>H24+H25+H27+H31+H29+H33+H35+H37+H41</f>
        <v>7499.0000000000009</v>
      </c>
      <c r="I42" s="10">
        <f>I24+I25+I27+I31+I29+I33+I35+I37+I41</f>
        <v>7723.5000000000009</v>
      </c>
      <c r="J42" s="10">
        <f>J24+J25+J27+J31+J29+J33+J35+J37+J41</f>
        <v>7955.5350000000017</v>
      </c>
      <c r="K42" s="10">
        <f>K24+K25+K27+K31+K29+K33+K35+K37+K41</f>
        <v>8194.2710500000012</v>
      </c>
      <c r="L42" s="10">
        <f>L24+L25+L27+L31+L29+L33+L35+L37+L41</f>
        <v>8439.8791815000022</v>
      </c>
      <c r="M42" s="10">
        <f t="shared" si="4"/>
        <v>39812.185231500007</v>
      </c>
      <c r="O42" s="1" t="s">
        <v>25</v>
      </c>
    </row>
    <row r="43" spans="1:15" ht="23.25">
      <c r="A43" s="70" t="s">
        <v>35</v>
      </c>
      <c r="B43" s="8"/>
      <c r="C43" s="8"/>
      <c r="D43" s="33"/>
      <c r="E43" s="7"/>
      <c r="F43" s="7"/>
      <c r="G43" s="39"/>
      <c r="H43" s="10">
        <f>E39+E40</f>
        <v>0</v>
      </c>
      <c r="I43" s="10">
        <v>0</v>
      </c>
      <c r="J43" s="10">
        <v>0</v>
      </c>
      <c r="K43" s="10">
        <v>0</v>
      </c>
      <c r="L43" s="10">
        <v>0</v>
      </c>
      <c r="M43" s="10">
        <f t="shared" si="4"/>
        <v>0</v>
      </c>
    </row>
    <row r="44" spans="1:15" ht="20.100000000000001" customHeight="1">
      <c r="A44" s="69" t="s">
        <v>37</v>
      </c>
      <c r="B44" s="8"/>
      <c r="C44" s="8"/>
      <c r="D44" s="33"/>
      <c r="E44" s="7"/>
      <c r="F44" s="7"/>
      <c r="G44" s="39"/>
      <c r="H44" s="10">
        <f>H42+H43</f>
        <v>7499.0000000000009</v>
      </c>
      <c r="I44" s="10">
        <f>I42+I43</f>
        <v>7723.5000000000009</v>
      </c>
      <c r="J44" s="10">
        <f>J42+J43</f>
        <v>7955.5350000000017</v>
      </c>
      <c r="K44" s="10">
        <f>K42+K43</f>
        <v>8194.2710500000012</v>
      </c>
      <c r="L44" s="10">
        <f>L42+L43</f>
        <v>8439.8791815000022</v>
      </c>
      <c r="M44" s="10">
        <f t="shared" si="4"/>
        <v>39812.185231500007</v>
      </c>
    </row>
    <row r="45" spans="1:15" ht="20.100000000000001" customHeight="1">
      <c r="A45" s="69" t="s">
        <v>55</v>
      </c>
      <c r="B45" s="86" t="s">
        <v>50</v>
      </c>
      <c r="C45" s="86"/>
      <c r="D45" s="25">
        <v>0.4</v>
      </c>
      <c r="E45" s="22"/>
      <c r="F45" s="22"/>
      <c r="G45" s="42"/>
      <c r="H45" s="10">
        <f>ROUND($D$45*H47,0)</f>
        <v>3000</v>
      </c>
      <c r="I45" s="10">
        <f>ROUND($D$45*I47,0)</f>
        <v>3089</v>
      </c>
      <c r="J45" s="10">
        <f>ROUND($D$45*J47,0)</f>
        <v>3182</v>
      </c>
      <c r="K45" s="10">
        <f>ROUND($D$45*K47,0)</f>
        <v>3278</v>
      </c>
      <c r="L45" s="10">
        <f>ROUND($D$45*L47,0)</f>
        <v>3376</v>
      </c>
      <c r="M45" s="10">
        <f t="shared" si="4"/>
        <v>15925</v>
      </c>
    </row>
    <row r="46" spans="1:15" ht="20.100000000000001" customHeight="1">
      <c r="A46" s="69" t="s">
        <v>38</v>
      </c>
      <c r="B46" s="8"/>
      <c r="C46" s="8"/>
      <c r="D46" s="33"/>
      <c r="E46" s="7"/>
      <c r="F46" s="7"/>
      <c r="G46" s="39"/>
      <c r="H46" s="10">
        <f>H44+H45</f>
        <v>10499</v>
      </c>
      <c r="I46" s="10">
        <f>I44+I45</f>
        <v>10812.5</v>
      </c>
      <c r="J46" s="10">
        <f>J44+J45</f>
        <v>11137.535000000002</v>
      </c>
      <c r="K46" s="10">
        <f>K44+K45</f>
        <v>11472.271050000001</v>
      </c>
      <c r="L46" s="10">
        <f>L44+L45</f>
        <v>11815.879181500002</v>
      </c>
      <c r="M46" s="10">
        <f t="shared" si="4"/>
        <v>55737.185231500007</v>
      </c>
    </row>
    <row r="47" spans="1:15" ht="20.100000000000001" customHeight="1">
      <c r="A47" s="69" t="s">
        <v>49</v>
      </c>
      <c r="B47" s="11"/>
      <c r="C47" s="11"/>
      <c r="D47" s="26"/>
      <c r="E47" s="11"/>
      <c r="F47" s="11"/>
      <c r="G47" s="35"/>
      <c r="H47" s="23">
        <f>H24+H25+H27+SUM(H49:H50)</f>
        <v>7499.0000000000009</v>
      </c>
      <c r="I47" s="23">
        <f t="shared" ref="I47:L47" si="5">I24+I25+I27+SUM(I49:I50)</f>
        <v>7723.5000000000009</v>
      </c>
      <c r="J47" s="23">
        <f t="shared" si="5"/>
        <v>7955.5350000000017</v>
      </c>
      <c r="K47" s="23">
        <f t="shared" si="5"/>
        <v>8194.2710500000012</v>
      </c>
      <c r="L47" s="23">
        <f t="shared" si="5"/>
        <v>8439.8791815000022</v>
      </c>
      <c r="M47" s="11"/>
    </row>
    <row r="48" spans="1:15" ht="12" customHeight="1">
      <c r="A48" s="82" t="s">
        <v>22</v>
      </c>
      <c r="B48" s="11"/>
      <c r="C48" s="11"/>
      <c r="D48" s="26"/>
      <c r="E48" s="11"/>
      <c r="F48" s="11"/>
      <c r="G48" s="35"/>
      <c r="H48" s="11"/>
      <c r="I48" s="11"/>
      <c r="J48" s="11"/>
      <c r="K48" s="11"/>
      <c r="L48" s="11"/>
      <c r="M48" s="11"/>
    </row>
    <row r="49" spans="1:13" ht="12" customHeight="1">
      <c r="A49" s="11">
        <f>A39</f>
        <v>0</v>
      </c>
      <c r="B49" s="11"/>
      <c r="C49" s="11"/>
      <c r="D49" s="26"/>
      <c r="E49" s="11" t="s">
        <v>25</v>
      </c>
      <c r="F49" s="11"/>
      <c r="G49" s="35"/>
      <c r="H49" s="11">
        <f>IF(G39&gt;25000,25000,+G39)</f>
        <v>0</v>
      </c>
      <c r="I49" s="11">
        <f>IF(G39&gt;24999.99,0,IF((G39+I39)&gt;25000,25000-G39,+I39))</f>
        <v>0</v>
      </c>
      <c r="J49" s="11">
        <f>IF(G39+I39&gt;24999.99,0,IF((G39+I39+J39)&gt;25000,25000-(G39+I39),+J39))</f>
        <v>0</v>
      </c>
      <c r="K49" s="11">
        <f>IF(H39+I39+J39&gt;24999.99,0,IF((H39+I39+J39+K39)&gt;25000,25000-(H39+I39+J39),+K39))</f>
        <v>0</v>
      </c>
      <c r="L49" s="11">
        <f>IF(H39+I39+J39+K39&gt;24999.99,0,IF((H39+I39+J39+K39+L39)&gt;25000,25000-(H39+I39+J39+K39),+L39))</f>
        <v>0</v>
      </c>
      <c r="M49" s="11">
        <f>SUM(H49:L49)</f>
        <v>0</v>
      </c>
    </row>
    <row r="50" spans="1:13" ht="12" customHeight="1">
      <c r="A50" s="11">
        <f>A40</f>
        <v>0</v>
      </c>
      <c r="B50" s="11"/>
      <c r="C50" s="11"/>
      <c r="D50" s="26"/>
      <c r="E50" s="11"/>
      <c r="F50" s="11"/>
      <c r="G50" s="35"/>
      <c r="H50" s="11">
        <f>IF(G40&gt;25000,25000,+G40)</f>
        <v>0</v>
      </c>
      <c r="I50" s="11">
        <f>IF(G40&gt;24999.99,0,IF((G40+I40)&gt;25000,25000-G40,+I40))</f>
        <v>0</v>
      </c>
      <c r="J50" s="11">
        <f>IF(G40+I40&gt;24999.99,0,IF((G40+I40+J40)&gt;25000,25000-(G40+I40),+J40))</f>
        <v>0</v>
      </c>
      <c r="K50" s="11">
        <f>IF(H40+I40+J40&gt;24999.99,0,IF((H40+I40+J40+K40)&gt;25000,25000-(H40+I40+J40),+K40))</f>
        <v>0</v>
      </c>
      <c r="L50" s="11">
        <f>IF(H40+I40+J40+K40&gt;24999.99,0,IF((H40+I40+J40+K40+L40)&gt;25000,25000-(H40+I40+J40+K40),+L40))</f>
        <v>0</v>
      </c>
      <c r="M50" s="11">
        <f>SUM(H50:L50)</f>
        <v>0</v>
      </c>
    </row>
    <row r="51" spans="1:13">
      <c r="A51" s="183" t="s">
        <v>143</v>
      </c>
      <c r="B51" s="184"/>
      <c r="C51" s="184"/>
      <c r="D51" s="184"/>
      <c r="E51" s="184"/>
      <c r="F51" s="184"/>
      <c r="G51" s="184"/>
      <c r="H51" s="184"/>
      <c r="I51" s="184"/>
      <c r="J51" s="184"/>
      <c r="K51" s="184"/>
      <c r="L51" s="184"/>
      <c r="M51" s="184"/>
    </row>
    <row r="52" spans="1:13" ht="12" customHeight="1">
      <c r="A52" s="184"/>
      <c r="B52" s="184"/>
      <c r="C52" s="184"/>
      <c r="D52" s="184"/>
      <c r="E52" s="184"/>
      <c r="F52" s="184"/>
      <c r="G52" s="184"/>
      <c r="H52" s="184"/>
      <c r="I52" s="184"/>
      <c r="J52" s="184"/>
      <c r="K52" s="184"/>
      <c r="L52" s="184"/>
      <c r="M52" s="184"/>
    </row>
    <row r="53" spans="1:13" hidden="1">
      <c r="A53" s="184"/>
      <c r="B53" s="184"/>
      <c r="C53" s="184"/>
      <c r="D53" s="184"/>
      <c r="E53" s="184"/>
      <c r="F53" s="184"/>
      <c r="G53" s="184"/>
      <c r="H53" s="184"/>
      <c r="I53" s="184"/>
      <c r="J53" s="184"/>
      <c r="K53" s="184"/>
      <c r="L53" s="184"/>
      <c r="M53" s="184"/>
    </row>
    <row r="54" spans="1:13" hidden="1">
      <c r="A54" s="184"/>
      <c r="B54" s="184"/>
      <c r="C54" s="184"/>
      <c r="D54" s="184"/>
      <c r="E54" s="184"/>
      <c r="F54" s="184"/>
      <c r="G54" s="184"/>
      <c r="H54" s="184"/>
      <c r="I54" s="184"/>
      <c r="J54" s="184"/>
      <c r="K54" s="184"/>
      <c r="L54" s="184"/>
      <c r="M54" s="184"/>
    </row>
  </sheetData>
  <mergeCells count="1">
    <mergeCell ref="A51:M54"/>
  </mergeCells>
  <phoneticPr fontId="11" type="noConversion"/>
  <pageMargins left="0" right="0" top="0" bottom="0" header="0.5" footer="0.5"/>
  <pageSetup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4"/>
  <sheetViews>
    <sheetView view="pageBreakPreview" zoomScale="75" zoomScaleNormal="100" workbookViewId="0">
      <selection activeCell="M3" sqref="M3"/>
    </sheetView>
  </sheetViews>
  <sheetFormatPr defaultColWidth="9.7109375" defaultRowHeight="12.75"/>
  <cols>
    <col min="1" max="1" width="35.28515625" style="1" customWidth="1"/>
    <col min="2" max="2" width="14.7109375" style="1" customWidth="1"/>
    <col min="3" max="3" width="7.5703125" style="1" bestFit="1" customWidth="1"/>
    <col min="4" max="4" width="8.7109375" style="34" customWidth="1"/>
    <col min="5" max="5" width="10.7109375" style="1" customWidth="1"/>
    <col min="6" max="6" width="7.7109375" style="1" bestFit="1" customWidth="1"/>
    <col min="7" max="7" width="9.28515625" style="43" bestFit="1" customWidth="1"/>
    <col min="8" max="13" width="16.7109375" style="1" customWidth="1"/>
    <col min="14" max="14" width="1.7109375" style="1" customWidth="1"/>
    <col min="15" max="15" width="19.28515625" style="1" customWidth="1"/>
    <col min="16" max="20" width="10.28515625" style="1" bestFit="1" customWidth="1"/>
    <col min="21" max="16384" width="9.7109375" style="1"/>
  </cols>
  <sheetData>
    <row r="1" spans="1:15" ht="15.75">
      <c r="A1" s="63" t="s">
        <v>33</v>
      </c>
    </row>
    <row r="2" spans="1:15" ht="15.75">
      <c r="A2" s="87" t="s">
        <v>56</v>
      </c>
      <c r="B2" s="88"/>
      <c r="C2" s="88"/>
      <c r="D2" s="90"/>
      <c r="E2" s="88"/>
    </row>
    <row r="3" spans="1:15" s="3" customFormat="1">
      <c r="A3" s="62" t="s">
        <v>0</v>
      </c>
      <c r="B3" s="2"/>
      <c r="C3" s="2"/>
      <c r="D3" s="5" t="s">
        <v>121</v>
      </c>
      <c r="G3" s="59"/>
      <c r="J3" s="1"/>
      <c r="K3" s="1"/>
      <c r="L3" s="1" t="s">
        <v>60</v>
      </c>
      <c r="M3" s="180">
        <v>225700</v>
      </c>
    </row>
    <row r="4" spans="1:15" s="3" customFormat="1" ht="15.75">
      <c r="A4" s="118" t="s">
        <v>166</v>
      </c>
      <c r="B4" s="1"/>
      <c r="C4" s="1"/>
      <c r="D4" s="4"/>
      <c r="G4" s="59"/>
      <c r="J4" s="1"/>
      <c r="K4" s="1"/>
      <c r="L4" s="1" t="s">
        <v>65</v>
      </c>
      <c r="M4" s="93">
        <v>0.03</v>
      </c>
    </row>
    <row r="5" spans="1:15" s="3" customFormat="1" ht="15.75">
      <c r="A5" s="118" t="s">
        <v>32</v>
      </c>
      <c r="B5" s="1"/>
      <c r="C5" s="1"/>
      <c r="D5" s="4"/>
      <c r="G5" s="59"/>
      <c r="J5" s="1"/>
      <c r="K5" s="1"/>
      <c r="L5" s="1" t="s">
        <v>62</v>
      </c>
      <c r="M5" s="98">
        <v>12</v>
      </c>
    </row>
    <row r="6" spans="1:15" s="3" customFormat="1">
      <c r="A6" s="5"/>
      <c r="D6" s="60"/>
      <c r="G6" s="61"/>
    </row>
    <row r="7" spans="1:15" s="3" customFormat="1" ht="15.75">
      <c r="A7" s="4"/>
      <c r="D7" s="60"/>
      <c r="G7" s="61"/>
    </row>
    <row r="8" spans="1:15" ht="15" customHeight="1">
      <c r="A8" s="71" t="s">
        <v>40</v>
      </c>
      <c r="B8" s="72"/>
      <c r="C8" s="72"/>
      <c r="D8" s="73"/>
      <c r="E8" s="74" t="s">
        <v>1</v>
      </c>
      <c r="F8" s="74"/>
      <c r="G8" s="75"/>
      <c r="H8" s="76" t="s">
        <v>2</v>
      </c>
      <c r="K8" s="4"/>
    </row>
    <row r="9" spans="1:15" ht="20.100000000000001" customHeight="1">
      <c r="A9" s="77"/>
      <c r="B9" s="85"/>
      <c r="C9" s="85"/>
      <c r="D9" s="78"/>
      <c r="E9" s="79">
        <v>44531</v>
      </c>
      <c r="F9" s="79"/>
      <c r="G9" s="80"/>
      <c r="H9" s="81">
        <v>46356</v>
      </c>
    </row>
    <row r="10" spans="1:15" s="3" customFormat="1">
      <c r="A10" s="83" t="s">
        <v>3</v>
      </c>
      <c r="B10" s="44"/>
      <c r="C10" s="101"/>
      <c r="D10" s="49" t="s">
        <v>63</v>
      </c>
      <c r="E10" s="51" t="s">
        <v>4</v>
      </c>
      <c r="F10" s="51"/>
      <c r="G10" s="52" t="s">
        <v>63</v>
      </c>
      <c r="H10" s="55">
        <v>0.95454545454545459</v>
      </c>
      <c r="I10" s="55">
        <v>0.95652173913043481</v>
      </c>
      <c r="J10" s="55">
        <v>0.95833333333333337</v>
      </c>
      <c r="K10" s="64">
        <v>0.96</v>
      </c>
      <c r="L10" s="64">
        <v>0.96153846153846156</v>
      </c>
      <c r="M10" s="67"/>
    </row>
    <row r="11" spans="1:15" ht="12.75" customHeight="1">
      <c r="A11" s="47"/>
      <c r="B11" s="50" t="s">
        <v>5</v>
      </c>
      <c r="C11" s="102" t="s">
        <v>61</v>
      </c>
      <c r="D11" s="49" t="s">
        <v>39</v>
      </c>
      <c r="E11" s="51" t="s">
        <v>6</v>
      </c>
      <c r="F11" s="51" t="s">
        <v>61</v>
      </c>
      <c r="G11" s="52" t="s">
        <v>39</v>
      </c>
      <c r="H11" s="56" t="s">
        <v>7</v>
      </c>
      <c r="I11" s="56" t="s">
        <v>8</v>
      </c>
      <c r="J11" s="56" t="s">
        <v>9</v>
      </c>
      <c r="K11" s="56" t="s">
        <v>10</v>
      </c>
      <c r="L11" s="58" t="s">
        <v>11</v>
      </c>
      <c r="M11" s="68" t="s">
        <v>12</v>
      </c>
    </row>
    <row r="12" spans="1:15" s="3" customFormat="1" ht="12" customHeight="1">
      <c r="A12" s="48" t="s">
        <v>13</v>
      </c>
      <c r="B12" s="46" t="s">
        <v>12</v>
      </c>
      <c r="C12" s="103" t="s">
        <v>43</v>
      </c>
      <c r="D12" s="84" t="s">
        <v>43</v>
      </c>
      <c r="E12" s="48" t="s">
        <v>14</v>
      </c>
      <c r="F12" s="48" t="s">
        <v>15</v>
      </c>
      <c r="G12" s="53" t="s">
        <v>15</v>
      </c>
      <c r="H12" s="57" t="s">
        <v>16</v>
      </c>
      <c r="I12" s="57" t="s">
        <v>16</v>
      </c>
      <c r="J12" s="57" t="s">
        <v>16</v>
      </c>
      <c r="K12" s="57" t="s">
        <v>16</v>
      </c>
      <c r="L12" s="65" t="s">
        <v>17</v>
      </c>
      <c r="M12" s="57" t="s">
        <v>16</v>
      </c>
    </row>
    <row r="13" spans="1:15" ht="17.100000000000001" customHeight="1">
      <c r="A13" s="155" t="s">
        <v>130</v>
      </c>
      <c r="B13" s="45" t="s">
        <v>52</v>
      </c>
      <c r="C13" s="94">
        <v>0.05</v>
      </c>
      <c r="D13" s="100">
        <f>C13*$M$5</f>
        <v>0.60000000000000009</v>
      </c>
      <c r="E13" s="45">
        <v>75000</v>
      </c>
      <c r="F13" s="94">
        <v>0.05</v>
      </c>
      <c r="G13" s="99">
        <f>F13*$M$5</f>
        <v>0.60000000000000009</v>
      </c>
      <c r="H13" s="14">
        <f>IF(E13&gt;PrimeGrantee!$M$4,PrimeGrantee!$M$4*(G13/12),E13*(G13/12))</f>
        <v>3750.0000000000009</v>
      </c>
      <c r="I13" s="54">
        <f>H13*(1+$M$4)</f>
        <v>3862.5000000000009</v>
      </c>
      <c r="J13" s="54">
        <f>I13*(1+$M$4)</f>
        <v>3978.3750000000009</v>
      </c>
      <c r="K13" s="54">
        <f>J13*(1+$M$4)</f>
        <v>4097.7262500000006</v>
      </c>
      <c r="L13" s="54">
        <f>K13*(1+$M$4)</f>
        <v>4220.6580375000003</v>
      </c>
      <c r="M13" s="66"/>
    </row>
    <row r="14" spans="1:15" ht="26.25" customHeight="1">
      <c r="A14" s="104" t="s">
        <v>129</v>
      </c>
      <c r="B14" s="15" t="s">
        <v>26</v>
      </c>
      <c r="C14" s="94">
        <v>0.05</v>
      </c>
      <c r="D14" s="100">
        <f>C14*$M$5</f>
        <v>0.60000000000000009</v>
      </c>
      <c r="E14" s="11">
        <v>40000</v>
      </c>
      <c r="F14" s="94">
        <v>0.05</v>
      </c>
      <c r="G14" s="99">
        <f t="shared" ref="G14:G21" si="0">F14*$M$5</f>
        <v>0.60000000000000009</v>
      </c>
      <c r="H14" s="14">
        <f>IF(E14&gt;PrimeGrantee!$M$4,PrimeGrantee!$M$4*(G14/12),E14*(G14/12))</f>
        <v>2000.0000000000005</v>
      </c>
      <c r="I14" s="54">
        <f>H14*(1+$M$4)</f>
        <v>2060.0000000000005</v>
      </c>
      <c r="J14" s="54">
        <f t="shared" ref="J14:L21" si="1">I14*(1+$M$4)</f>
        <v>2121.8000000000006</v>
      </c>
      <c r="K14" s="54">
        <f t="shared" si="1"/>
        <v>2185.4540000000006</v>
      </c>
      <c r="L14" s="54">
        <f t="shared" si="1"/>
        <v>2251.0176200000005</v>
      </c>
      <c r="M14" s="11"/>
      <c r="O14" s="1" t="s">
        <v>25</v>
      </c>
    </row>
    <row r="15" spans="1:15" ht="15">
      <c r="A15" s="11"/>
      <c r="B15" s="15"/>
      <c r="C15" s="94"/>
      <c r="D15" s="100">
        <f t="shared" ref="D15:D21" si="2">C15*$M$5</f>
        <v>0</v>
      </c>
      <c r="E15" s="11"/>
      <c r="F15" s="94"/>
      <c r="G15" s="99">
        <f t="shared" si="0"/>
        <v>0</v>
      </c>
      <c r="H15" s="14">
        <f>IF(E15&gt;PrimeGrantee!$M$4,PrimeGrantee!$M$4*(G15/12),E15*(G15/12))</f>
        <v>0</v>
      </c>
      <c r="I15" s="54">
        <f t="shared" ref="I15:I21" si="3">H15*(1+$M$4)</f>
        <v>0</v>
      </c>
      <c r="J15" s="54">
        <f t="shared" si="1"/>
        <v>0</v>
      </c>
      <c r="K15" s="54">
        <f t="shared" si="1"/>
        <v>0</v>
      </c>
      <c r="L15" s="54">
        <f t="shared" si="1"/>
        <v>0</v>
      </c>
      <c r="M15" s="11"/>
    </row>
    <row r="16" spans="1:15" ht="17.100000000000001" customHeight="1">
      <c r="A16" s="9"/>
      <c r="B16" s="9"/>
      <c r="C16" s="95"/>
      <c r="D16" s="100">
        <f t="shared" si="2"/>
        <v>0</v>
      </c>
      <c r="E16" s="9"/>
      <c r="F16" s="95"/>
      <c r="G16" s="99">
        <f t="shared" si="0"/>
        <v>0</v>
      </c>
      <c r="H16" s="14">
        <f>IF(E16&gt;PrimeGrantee!$M$4,PrimeGrantee!$M$4*(G16/12),E16*(G16/12))</f>
        <v>0</v>
      </c>
      <c r="I16" s="54">
        <f t="shared" si="3"/>
        <v>0</v>
      </c>
      <c r="J16" s="54">
        <f t="shared" si="1"/>
        <v>0</v>
      </c>
      <c r="K16" s="54">
        <f t="shared" si="1"/>
        <v>0</v>
      </c>
      <c r="L16" s="54">
        <f t="shared" si="1"/>
        <v>0</v>
      </c>
      <c r="M16" s="11"/>
    </row>
    <row r="17" spans="1:20" ht="17.100000000000001" customHeight="1">
      <c r="A17" s="9"/>
      <c r="B17" s="9"/>
      <c r="C17" s="95"/>
      <c r="D17" s="100">
        <f t="shared" si="2"/>
        <v>0</v>
      </c>
      <c r="E17" s="9"/>
      <c r="F17" s="95"/>
      <c r="G17" s="99">
        <f t="shared" si="0"/>
        <v>0</v>
      </c>
      <c r="H17" s="14">
        <f>IF(E17&gt;PrimeGrantee!$M$4,PrimeGrantee!$M$4*(G17/12),E17*(G17/12))</f>
        <v>0</v>
      </c>
      <c r="I17" s="54">
        <f t="shared" si="3"/>
        <v>0</v>
      </c>
      <c r="J17" s="54">
        <f t="shared" si="1"/>
        <v>0</v>
      </c>
      <c r="K17" s="54">
        <f t="shared" si="1"/>
        <v>0</v>
      </c>
      <c r="L17" s="54">
        <f t="shared" si="1"/>
        <v>0</v>
      </c>
      <c r="M17" s="11"/>
    </row>
    <row r="18" spans="1:20" ht="17.100000000000001" customHeight="1">
      <c r="A18" s="11"/>
      <c r="B18" s="11"/>
      <c r="C18" s="96"/>
      <c r="D18" s="100">
        <f t="shared" si="2"/>
        <v>0</v>
      </c>
      <c r="E18" s="11"/>
      <c r="F18" s="96"/>
      <c r="G18" s="99">
        <f t="shared" si="0"/>
        <v>0</v>
      </c>
      <c r="H18" s="14">
        <f>IF(E18&gt;PrimeGrantee!$M$4,PrimeGrantee!$M$4*(G18/12),E18*(G18/12))</f>
        <v>0</v>
      </c>
      <c r="I18" s="54">
        <f t="shared" si="3"/>
        <v>0</v>
      </c>
      <c r="J18" s="54">
        <f t="shared" si="1"/>
        <v>0</v>
      </c>
      <c r="K18" s="54">
        <f t="shared" si="1"/>
        <v>0</v>
      </c>
      <c r="L18" s="54">
        <f t="shared" si="1"/>
        <v>0</v>
      </c>
      <c r="M18" s="11"/>
    </row>
    <row r="19" spans="1:20" ht="17.100000000000001" customHeight="1">
      <c r="A19" s="11"/>
      <c r="B19" s="11"/>
      <c r="C19" s="96"/>
      <c r="D19" s="100">
        <f t="shared" si="2"/>
        <v>0</v>
      </c>
      <c r="E19" s="11"/>
      <c r="F19" s="96"/>
      <c r="G19" s="99">
        <f t="shared" si="0"/>
        <v>0</v>
      </c>
      <c r="H19" s="14">
        <f>IF(E19&gt;PrimeGrantee!$M$4,PrimeGrantee!$M$4*(G19/12),E19*(G19/12))</f>
        <v>0</v>
      </c>
      <c r="I19" s="54">
        <f t="shared" si="3"/>
        <v>0</v>
      </c>
      <c r="J19" s="54">
        <f t="shared" si="1"/>
        <v>0</v>
      </c>
      <c r="K19" s="54">
        <f t="shared" si="1"/>
        <v>0</v>
      </c>
      <c r="L19" s="54">
        <f t="shared" si="1"/>
        <v>0</v>
      </c>
      <c r="M19" s="11"/>
    </row>
    <row r="20" spans="1:20" ht="17.100000000000001" customHeight="1">
      <c r="A20" s="11"/>
      <c r="B20" s="11"/>
      <c r="C20" s="96"/>
      <c r="D20" s="100">
        <f t="shared" si="2"/>
        <v>0</v>
      </c>
      <c r="E20" s="11"/>
      <c r="F20" s="96"/>
      <c r="G20" s="99">
        <f t="shared" si="0"/>
        <v>0</v>
      </c>
      <c r="H20" s="14">
        <f>IF(E20&gt;PrimeGrantee!$M$4,PrimeGrantee!$M$4*(G20/12),E20*(G20/12))</f>
        <v>0</v>
      </c>
      <c r="I20" s="54">
        <f t="shared" si="3"/>
        <v>0</v>
      </c>
      <c r="J20" s="54">
        <f t="shared" si="1"/>
        <v>0</v>
      </c>
      <c r="K20" s="54">
        <f t="shared" si="1"/>
        <v>0</v>
      </c>
      <c r="L20" s="54">
        <f t="shared" si="1"/>
        <v>0</v>
      </c>
      <c r="M20" s="11"/>
    </row>
    <row r="21" spans="1:20" ht="17.100000000000001" customHeight="1">
      <c r="A21" s="11"/>
      <c r="B21" s="11"/>
      <c r="C21" s="96"/>
      <c r="D21" s="100">
        <f t="shared" si="2"/>
        <v>0</v>
      </c>
      <c r="E21" s="11"/>
      <c r="F21" s="96"/>
      <c r="G21" s="99">
        <f t="shared" si="0"/>
        <v>0</v>
      </c>
      <c r="H21" s="14">
        <f>IF(E21&gt;PrimeGrantee!$M$4,PrimeGrantee!$M$4*(G21/12),E21*(G21/12))</f>
        <v>0</v>
      </c>
      <c r="I21" s="54">
        <f t="shared" si="3"/>
        <v>0</v>
      </c>
      <c r="J21" s="54">
        <f t="shared" si="1"/>
        <v>0</v>
      </c>
      <c r="K21" s="54">
        <f t="shared" si="1"/>
        <v>0</v>
      </c>
      <c r="L21" s="54">
        <f t="shared" si="1"/>
        <v>0</v>
      </c>
      <c r="M21" s="11"/>
    </row>
    <row r="22" spans="1:20" ht="17.100000000000001" customHeight="1">
      <c r="A22" s="16"/>
      <c r="B22" s="17"/>
      <c r="C22" s="97"/>
      <c r="D22" s="29"/>
      <c r="E22" s="17"/>
      <c r="F22" s="17"/>
      <c r="G22" s="37"/>
      <c r="H22" s="14"/>
      <c r="I22" s="11"/>
      <c r="J22" s="11"/>
      <c r="K22" s="11"/>
      <c r="L22" s="11"/>
      <c r="M22" s="11"/>
    </row>
    <row r="23" spans="1:20" ht="17.100000000000001" customHeight="1">
      <c r="A23" s="11"/>
      <c r="B23" s="11"/>
      <c r="C23" s="11"/>
      <c r="D23" s="26"/>
      <c r="E23" s="11"/>
      <c r="F23" s="11"/>
      <c r="G23" s="35"/>
      <c r="H23" s="14"/>
      <c r="I23" s="11"/>
      <c r="J23" s="11"/>
      <c r="K23" s="11"/>
      <c r="L23" s="11"/>
      <c r="M23" s="11"/>
    </row>
    <row r="24" spans="1:20" ht="17.100000000000001" customHeight="1">
      <c r="A24" s="69" t="s">
        <v>18</v>
      </c>
      <c r="B24" s="11"/>
      <c r="C24" s="11"/>
      <c r="D24" s="26"/>
      <c r="E24" s="11"/>
      <c r="F24" s="11"/>
      <c r="G24" s="35"/>
      <c r="H24" s="10">
        <f>SUM(H13:H23)</f>
        <v>5750.0000000000018</v>
      </c>
      <c r="I24" s="10">
        <f>SUM(I13:I23)</f>
        <v>5922.5000000000018</v>
      </c>
      <c r="J24" s="10">
        <f>SUM(J13:J23)</f>
        <v>6100.1750000000011</v>
      </c>
      <c r="K24" s="10">
        <f>SUM(K13:K23)</f>
        <v>6283.1802500000013</v>
      </c>
      <c r="L24" s="10">
        <f>SUM(L13:L23)</f>
        <v>6471.6756575000009</v>
      </c>
      <c r="M24" s="10">
        <f>SUM(H24:L24)</f>
        <v>30527.530907500004</v>
      </c>
    </row>
    <row r="25" spans="1:20" ht="23.25">
      <c r="A25" s="70" t="s">
        <v>57</v>
      </c>
      <c r="B25" s="12"/>
      <c r="C25" s="12"/>
      <c r="D25" s="30"/>
      <c r="E25" s="12"/>
      <c r="F25" s="12"/>
      <c r="G25" s="38"/>
      <c r="H25" s="10">
        <f>ROUND(((H13+H14+H15+H16+H17)*27%)+((H18+H19)*0.6%)+((H20+H21)*18%), 0)</f>
        <v>1553</v>
      </c>
      <c r="I25" s="10">
        <f>ROUND(((I13+I14+I15+I16+I17)*27%)+((I18+I19)*0.6%)+((I20+I21)*18%), 0)</f>
        <v>1599</v>
      </c>
      <c r="J25" s="10">
        <f>ROUND(((J13+J14+J15+J16+J17)*27%)+((J18+J19)*0.6%)+((J20+J21)*18%), 0)</f>
        <v>1647</v>
      </c>
      <c r="K25" s="10">
        <f>ROUND(((K13+K14+K15+K16+K17)*27%)+((K18+K19)*0.6%)+((K20+K21)*18%), 0)</f>
        <v>1696</v>
      </c>
      <c r="L25" s="10">
        <f>ROUND(((L13+L14+L15+L16+L17)*27%)+((L18+L19)*0.6%)+((L20+L21)*18%), 0)</f>
        <v>1747</v>
      </c>
      <c r="M25" s="10">
        <f>SUM(H25:L25)</f>
        <v>8242</v>
      </c>
      <c r="O25" s="1" t="s">
        <v>25</v>
      </c>
    </row>
    <row r="26" spans="1:20" ht="23.25" customHeight="1">
      <c r="A26" s="70" t="s">
        <v>19</v>
      </c>
      <c r="B26" s="11"/>
      <c r="C26" s="11"/>
      <c r="D26" s="26"/>
      <c r="E26" s="11" t="s">
        <v>28</v>
      </c>
      <c r="F26" s="11"/>
      <c r="G26" s="35"/>
      <c r="H26" s="10"/>
      <c r="I26" s="10"/>
      <c r="J26" s="10"/>
      <c r="K26" s="10"/>
      <c r="L26" s="10"/>
      <c r="M26" s="10"/>
      <c r="O26" s="1" t="s">
        <v>25</v>
      </c>
    </row>
    <row r="27" spans="1:20" ht="13.15" customHeight="1">
      <c r="A27" s="11" t="s">
        <v>58</v>
      </c>
      <c r="B27" s="11"/>
      <c r="C27" s="11"/>
      <c r="D27" s="26"/>
      <c r="E27" s="11"/>
      <c r="F27" s="11"/>
      <c r="G27" s="35"/>
      <c r="H27" s="10">
        <v>1500</v>
      </c>
      <c r="I27" s="10">
        <f>H27*1.03</f>
        <v>1545</v>
      </c>
      <c r="J27" s="10">
        <f>I27*1.03</f>
        <v>1591.3500000000001</v>
      </c>
      <c r="K27" s="10">
        <f>J27*1.03</f>
        <v>1639.0905000000002</v>
      </c>
      <c r="L27" s="10">
        <f>K27*1.03</f>
        <v>1688.2632150000004</v>
      </c>
      <c r="M27" s="10">
        <f>SUM(H27:L27)</f>
        <v>7963.7037150000015</v>
      </c>
      <c r="O27" s="1" t="s">
        <v>25</v>
      </c>
    </row>
    <row r="28" spans="1:20" s="3" customFormat="1" ht="20.100000000000001" customHeight="1">
      <c r="A28" s="69" t="s">
        <v>141</v>
      </c>
      <c r="B28" s="11"/>
      <c r="C28" s="11"/>
      <c r="D28" s="26"/>
      <c r="E28" s="11"/>
      <c r="F28" s="11"/>
      <c r="G28" s="35"/>
      <c r="H28" s="10"/>
      <c r="I28" s="10"/>
      <c r="J28" s="10"/>
      <c r="K28" s="10"/>
      <c r="L28" s="10"/>
      <c r="M28" s="10"/>
      <c r="N28" s="1"/>
      <c r="O28" s="5"/>
      <c r="P28" s="5"/>
      <c r="Q28" s="5"/>
      <c r="R28" s="5"/>
      <c r="S28" s="5"/>
      <c r="T28" s="5"/>
    </row>
    <row r="29" spans="1:20" s="3" customFormat="1" ht="20.100000000000001" customHeight="1">
      <c r="A29" s="11"/>
      <c r="B29" s="18"/>
      <c r="C29" s="18"/>
      <c r="D29" s="31"/>
      <c r="E29" s="13"/>
      <c r="F29" s="13"/>
      <c r="G29" s="40"/>
      <c r="H29" s="10">
        <v>0</v>
      </c>
      <c r="I29" s="10">
        <v>0</v>
      </c>
      <c r="J29" s="10">
        <v>0</v>
      </c>
      <c r="K29" s="10">
        <v>0</v>
      </c>
      <c r="L29" s="10">
        <v>0</v>
      </c>
      <c r="M29" s="10">
        <f>SUM(H29:L29)</f>
        <v>0</v>
      </c>
      <c r="N29" s="1"/>
      <c r="O29" s="5"/>
      <c r="P29" s="5"/>
      <c r="Q29" s="5"/>
      <c r="R29" s="5"/>
      <c r="S29" s="5"/>
      <c r="T29" s="5"/>
    </row>
    <row r="30" spans="1:20" s="3" customFormat="1" ht="20.100000000000001" customHeight="1">
      <c r="A30" s="69" t="s">
        <v>44</v>
      </c>
      <c r="B30" s="6"/>
      <c r="C30" s="6"/>
      <c r="D30" s="27"/>
      <c r="E30" s="7"/>
      <c r="F30" s="7"/>
      <c r="G30" s="39"/>
      <c r="H30" s="10"/>
      <c r="I30" s="10"/>
      <c r="J30" s="10"/>
      <c r="K30" s="10"/>
      <c r="L30" s="10"/>
      <c r="M30" s="10"/>
      <c r="N30" s="1"/>
      <c r="O30" s="5" t="s">
        <v>25</v>
      </c>
      <c r="P30" s="5"/>
      <c r="Q30" s="5"/>
      <c r="R30" s="5"/>
      <c r="S30" s="5"/>
      <c r="T30" s="5"/>
    </row>
    <row r="31" spans="1:20" s="3" customFormat="1" ht="13.15" customHeight="1">
      <c r="A31" s="9"/>
      <c r="B31" s="9"/>
      <c r="C31" s="9"/>
      <c r="D31" s="28"/>
      <c r="E31" s="9"/>
      <c r="F31" s="9"/>
      <c r="G31" s="36"/>
      <c r="H31" s="10">
        <v>0</v>
      </c>
      <c r="I31" s="10">
        <v>0</v>
      </c>
      <c r="J31" s="10">
        <v>0</v>
      </c>
      <c r="K31" s="10">
        <v>0</v>
      </c>
      <c r="L31" s="10">
        <v>0</v>
      </c>
      <c r="M31" s="10">
        <f>SUM(H31:L31)</f>
        <v>0</v>
      </c>
      <c r="N31" s="1"/>
      <c r="O31" s="5" t="s">
        <v>25</v>
      </c>
      <c r="P31" s="5"/>
      <c r="Q31" s="5"/>
      <c r="R31" s="5"/>
      <c r="S31" s="5"/>
      <c r="T31" s="5"/>
    </row>
    <row r="32" spans="1:20" ht="13.15" customHeight="1">
      <c r="A32" s="69" t="s">
        <v>45</v>
      </c>
      <c r="B32" s="11"/>
      <c r="C32" s="11"/>
      <c r="D32" s="26"/>
      <c r="E32" s="11"/>
      <c r="F32" s="11"/>
      <c r="G32" s="35"/>
      <c r="H32" s="10"/>
      <c r="I32" s="10"/>
      <c r="J32" s="10"/>
      <c r="K32" s="10"/>
      <c r="L32" s="10"/>
      <c r="M32" s="10"/>
      <c r="O32" s="1" t="s">
        <v>25</v>
      </c>
    </row>
    <row r="33" spans="1:15" ht="20.100000000000001" customHeight="1">
      <c r="A33" s="11"/>
      <c r="B33" s="18"/>
      <c r="C33" s="18"/>
      <c r="D33" s="31"/>
      <c r="E33" s="13"/>
      <c r="F33" s="13"/>
      <c r="G33" s="40"/>
      <c r="H33" s="10">
        <v>0</v>
      </c>
      <c r="I33" s="10">
        <v>0</v>
      </c>
      <c r="J33" s="10">
        <v>0</v>
      </c>
      <c r="K33" s="10">
        <v>0</v>
      </c>
      <c r="L33" s="10">
        <v>0</v>
      </c>
      <c r="M33" s="10">
        <f>SUM(H33:L33)</f>
        <v>0</v>
      </c>
    </row>
    <row r="34" spans="1:15" ht="13.15" customHeight="1">
      <c r="A34" s="69" t="s">
        <v>46</v>
      </c>
      <c r="B34" s="11"/>
      <c r="C34" s="11"/>
      <c r="D34" s="26"/>
      <c r="E34" s="11"/>
      <c r="F34" s="11"/>
      <c r="G34" s="35"/>
      <c r="H34" s="10"/>
      <c r="I34" s="10"/>
      <c r="J34" s="10"/>
      <c r="K34" s="10"/>
      <c r="L34" s="10"/>
      <c r="M34" s="10"/>
      <c r="O34" s="1" t="s">
        <v>25</v>
      </c>
    </row>
    <row r="35" spans="1:15" ht="20.100000000000001" customHeight="1">
      <c r="A35" s="11"/>
      <c r="B35" s="18"/>
      <c r="C35" s="18"/>
      <c r="D35" s="31"/>
      <c r="E35" s="13"/>
      <c r="F35" s="13"/>
      <c r="G35" s="40"/>
      <c r="H35" s="10">
        <v>0</v>
      </c>
      <c r="I35" s="10">
        <v>0</v>
      </c>
      <c r="J35" s="10">
        <v>0</v>
      </c>
      <c r="K35" s="10">
        <v>0</v>
      </c>
      <c r="L35" s="10">
        <v>0</v>
      </c>
      <c r="M35" s="10">
        <f>SUM(H35:L35)</f>
        <v>0</v>
      </c>
    </row>
    <row r="36" spans="1:15" ht="13.15" customHeight="1">
      <c r="A36" s="69" t="s">
        <v>47</v>
      </c>
      <c r="B36" s="11"/>
      <c r="C36" s="11"/>
      <c r="D36" s="26"/>
      <c r="E36" s="11"/>
      <c r="F36" s="11"/>
      <c r="G36" s="35"/>
      <c r="H36" s="10"/>
      <c r="I36" s="10"/>
      <c r="J36" s="10"/>
      <c r="K36" s="10"/>
      <c r="L36" s="10"/>
      <c r="M36" s="10"/>
      <c r="O36" s="1" t="s">
        <v>25</v>
      </c>
    </row>
    <row r="37" spans="1:15" ht="20.100000000000001" customHeight="1">
      <c r="A37" s="11"/>
      <c r="B37" s="18"/>
      <c r="C37" s="18"/>
      <c r="D37" s="31"/>
      <c r="E37" s="13"/>
      <c r="F37" s="13"/>
      <c r="G37" s="40"/>
      <c r="H37" s="10">
        <v>0</v>
      </c>
      <c r="I37" s="10">
        <v>0</v>
      </c>
      <c r="J37" s="10">
        <v>0</v>
      </c>
      <c r="K37" s="10">
        <v>0</v>
      </c>
      <c r="L37" s="10">
        <v>0</v>
      </c>
      <c r="M37" s="10">
        <f>SUM(H37:L37)</f>
        <v>0</v>
      </c>
    </row>
    <row r="38" spans="1:15" ht="14.1" customHeight="1">
      <c r="A38" s="69" t="s">
        <v>42</v>
      </c>
      <c r="B38" s="19" t="s">
        <v>20</v>
      </c>
      <c r="C38" s="19"/>
      <c r="D38" s="32" t="s">
        <v>21</v>
      </c>
      <c r="E38" s="19" t="s">
        <v>41</v>
      </c>
      <c r="F38" s="19"/>
      <c r="G38" s="41" t="s">
        <v>17</v>
      </c>
      <c r="H38" s="10"/>
      <c r="I38" s="10"/>
      <c r="J38" s="10"/>
      <c r="K38" s="10"/>
      <c r="L38" s="10"/>
      <c r="M38" s="10"/>
      <c r="O38" s="1" t="s">
        <v>25</v>
      </c>
    </row>
    <row r="39" spans="1:15" ht="20.100000000000001" customHeight="1">
      <c r="A39" s="11"/>
      <c r="B39" s="20">
        <v>0</v>
      </c>
      <c r="C39" s="20"/>
      <c r="D39" s="24"/>
      <c r="E39" s="20">
        <f>B39*D39</f>
        <v>0</v>
      </c>
      <c r="F39" s="20"/>
      <c r="G39" s="89">
        <f>B39+E39</f>
        <v>0</v>
      </c>
      <c r="H39" s="21">
        <f>IF(G39&gt;25000,25000,+G39)</f>
        <v>0</v>
      </c>
      <c r="I39" s="10">
        <f>B39*1.03</f>
        <v>0</v>
      </c>
      <c r="J39" s="10">
        <f t="shared" ref="J39:L41" si="4">I39*1.03</f>
        <v>0</v>
      </c>
      <c r="K39" s="10">
        <f t="shared" si="4"/>
        <v>0</v>
      </c>
      <c r="L39" s="10">
        <f t="shared" si="4"/>
        <v>0</v>
      </c>
      <c r="M39" s="10"/>
    </row>
    <row r="40" spans="1:15" ht="20.100000000000001" customHeight="1">
      <c r="A40" s="11"/>
      <c r="B40" s="20">
        <v>0</v>
      </c>
      <c r="C40" s="20"/>
      <c r="D40" s="24"/>
      <c r="E40" s="20">
        <f>D40*B40</f>
        <v>0</v>
      </c>
      <c r="F40" s="20"/>
      <c r="G40" s="35">
        <f>B40+E40</f>
        <v>0</v>
      </c>
      <c r="H40" s="21">
        <f>IF(G40&gt;25000,25000,+G40)</f>
        <v>0</v>
      </c>
      <c r="I40" s="10">
        <f>B40*1.03</f>
        <v>0</v>
      </c>
      <c r="J40" s="10">
        <f t="shared" si="4"/>
        <v>0</v>
      </c>
      <c r="K40" s="10">
        <f t="shared" si="4"/>
        <v>0</v>
      </c>
      <c r="L40" s="10">
        <f t="shared" si="4"/>
        <v>0</v>
      </c>
      <c r="M40" s="10"/>
    </row>
    <row r="41" spans="1:15" ht="20.100000000000001" customHeight="1">
      <c r="A41" s="69" t="s">
        <v>34</v>
      </c>
      <c r="B41" s="18"/>
      <c r="C41" s="18"/>
      <c r="D41" s="31"/>
      <c r="E41" s="13"/>
      <c r="F41" s="13"/>
      <c r="G41" s="40"/>
      <c r="H41" s="10">
        <f>B39+B40</f>
        <v>0</v>
      </c>
      <c r="I41" s="10">
        <f>H41*1.03</f>
        <v>0</v>
      </c>
      <c r="J41" s="10">
        <f t="shared" si="4"/>
        <v>0</v>
      </c>
      <c r="K41" s="10">
        <f t="shared" si="4"/>
        <v>0</v>
      </c>
      <c r="L41" s="10">
        <f t="shared" si="4"/>
        <v>0</v>
      </c>
      <c r="M41" s="10">
        <f t="shared" ref="M41:M46" si="5">SUM(H41:L41)</f>
        <v>0</v>
      </c>
    </row>
    <row r="42" spans="1:15" ht="20.100000000000001" customHeight="1">
      <c r="A42" s="69" t="s">
        <v>24</v>
      </c>
      <c r="B42" s="8"/>
      <c r="C42" s="8"/>
      <c r="D42" s="33"/>
      <c r="E42" s="7"/>
      <c r="F42" s="7"/>
      <c r="G42" s="39"/>
      <c r="H42" s="10">
        <f>H24+H25+H27+H31+H29+H33+H35+H37+H41</f>
        <v>8803.0000000000018</v>
      </c>
      <c r="I42" s="10">
        <f>I24+I25+I27+I31+I29+I33+I35+I37+I41</f>
        <v>9066.5000000000018</v>
      </c>
      <c r="J42" s="10">
        <f>J24+J25+J27+J31+J29+J33+J35+J37+J41</f>
        <v>9338.5250000000015</v>
      </c>
      <c r="K42" s="10">
        <f>K24+K25+K27+K31+K29+K33+K35+K37+K41</f>
        <v>9618.2707500000015</v>
      </c>
      <c r="L42" s="10">
        <f>L24+L25+L27+L31+L29+L33+L35+L37+L41</f>
        <v>9906.9388725000008</v>
      </c>
      <c r="M42" s="10">
        <f t="shared" si="5"/>
        <v>46733.234622500007</v>
      </c>
      <c r="O42" s="1" t="s">
        <v>25</v>
      </c>
    </row>
    <row r="43" spans="1:15" ht="23.25">
      <c r="A43" s="70" t="s">
        <v>35</v>
      </c>
      <c r="B43" s="8"/>
      <c r="C43" s="8"/>
      <c r="D43" s="33"/>
      <c r="E43" s="7"/>
      <c r="F43" s="7"/>
      <c r="G43" s="39"/>
      <c r="H43" s="10">
        <f>E39+E40</f>
        <v>0</v>
      </c>
      <c r="I43" s="10">
        <v>0</v>
      </c>
      <c r="J43" s="10">
        <v>0</v>
      </c>
      <c r="K43" s="10">
        <v>0</v>
      </c>
      <c r="L43" s="10">
        <v>0</v>
      </c>
      <c r="M43" s="10">
        <f t="shared" si="5"/>
        <v>0</v>
      </c>
    </row>
    <row r="44" spans="1:15" ht="20.100000000000001" customHeight="1">
      <c r="A44" s="69" t="s">
        <v>37</v>
      </c>
      <c r="B44" s="8"/>
      <c r="C44" s="8"/>
      <c r="D44" s="33"/>
      <c r="E44" s="7"/>
      <c r="F44" s="7"/>
      <c r="G44" s="39"/>
      <c r="H44" s="10">
        <f>H42+H43</f>
        <v>8803.0000000000018</v>
      </c>
      <c r="I44" s="10">
        <f>I42+I43</f>
        <v>9066.5000000000018</v>
      </c>
      <c r="J44" s="10">
        <f>J42+J43</f>
        <v>9338.5250000000015</v>
      </c>
      <c r="K44" s="10">
        <f>K42+K43</f>
        <v>9618.2707500000015</v>
      </c>
      <c r="L44" s="10">
        <f>L42+L43</f>
        <v>9906.9388725000008</v>
      </c>
      <c r="M44" s="10">
        <f t="shared" si="5"/>
        <v>46733.234622500007</v>
      </c>
    </row>
    <row r="45" spans="1:15" ht="20.100000000000001" customHeight="1">
      <c r="A45" s="69" t="s">
        <v>59</v>
      </c>
      <c r="B45" s="86" t="s">
        <v>50</v>
      </c>
      <c r="C45" s="86"/>
      <c r="D45" s="25">
        <v>0.3</v>
      </c>
      <c r="E45" s="22"/>
      <c r="F45" s="22"/>
      <c r="G45" s="42"/>
      <c r="H45" s="10">
        <f>ROUND($D$45*H47,0)</f>
        <v>2641</v>
      </c>
      <c r="I45" s="10">
        <f>ROUND($D$45*I47,0)</f>
        <v>2720</v>
      </c>
      <c r="J45" s="10">
        <f>ROUND($D$45*J47,0)</f>
        <v>2802</v>
      </c>
      <c r="K45" s="10">
        <f>ROUND($D$45*K47,0)</f>
        <v>2885</v>
      </c>
      <c r="L45" s="10">
        <f>ROUND($D$45*L47,0)</f>
        <v>2972</v>
      </c>
      <c r="M45" s="10">
        <f t="shared" si="5"/>
        <v>14020</v>
      </c>
    </row>
    <row r="46" spans="1:15" ht="20.100000000000001" customHeight="1">
      <c r="A46" s="69" t="s">
        <v>38</v>
      </c>
      <c r="B46" s="8"/>
      <c r="C46" s="8"/>
      <c r="D46" s="33"/>
      <c r="E46" s="7"/>
      <c r="F46" s="7"/>
      <c r="G46" s="39"/>
      <c r="H46" s="10">
        <f>H44+H45</f>
        <v>11444.000000000002</v>
      </c>
      <c r="I46" s="10">
        <f>I44+I45</f>
        <v>11786.500000000002</v>
      </c>
      <c r="J46" s="10">
        <f>J44+J45</f>
        <v>12140.525000000001</v>
      </c>
      <c r="K46" s="10">
        <f>K44+K45</f>
        <v>12503.270750000001</v>
      </c>
      <c r="L46" s="10">
        <f>L44+L45</f>
        <v>12878.938872500001</v>
      </c>
      <c r="M46" s="10">
        <f t="shared" si="5"/>
        <v>60753.234622500015</v>
      </c>
    </row>
    <row r="47" spans="1:15" ht="20.100000000000001" customHeight="1">
      <c r="A47" s="69" t="s">
        <v>49</v>
      </c>
      <c r="B47" s="11"/>
      <c r="C47" s="11"/>
      <c r="D47" s="26"/>
      <c r="E47" s="11"/>
      <c r="F47" s="11"/>
      <c r="G47" s="35"/>
      <c r="H47" s="23">
        <f>H24+H25+H27+SUM(H49:H50)</f>
        <v>8803.0000000000018</v>
      </c>
      <c r="I47" s="23">
        <f>I24+I25+I27+SUM(I49:I50)</f>
        <v>9066.5000000000018</v>
      </c>
      <c r="J47" s="23">
        <f>J24+J25+J27+SUM(J49:J50)</f>
        <v>9338.5250000000015</v>
      </c>
      <c r="K47" s="23">
        <f>K24+K25+K27+SUM(K49:K50)</f>
        <v>9618.2707500000015</v>
      </c>
      <c r="L47" s="23">
        <f>L24+L25+L27+SUM(L49:L50)</f>
        <v>9906.9388725000008</v>
      </c>
      <c r="M47" s="11"/>
    </row>
    <row r="48" spans="1:15" ht="12" customHeight="1">
      <c r="A48" s="82" t="s">
        <v>22</v>
      </c>
      <c r="B48" s="11"/>
      <c r="C48" s="11"/>
      <c r="D48" s="26"/>
      <c r="E48" s="11"/>
      <c r="F48" s="11"/>
      <c r="G48" s="35"/>
      <c r="H48" s="11"/>
      <c r="I48" s="11"/>
      <c r="J48" s="11"/>
      <c r="K48" s="11"/>
      <c r="L48" s="11"/>
      <c r="M48" s="11"/>
    </row>
    <row r="49" spans="1:13" ht="12" customHeight="1">
      <c r="A49" s="11">
        <f>A39</f>
        <v>0</v>
      </c>
      <c r="B49" s="11"/>
      <c r="C49" s="11"/>
      <c r="D49" s="26"/>
      <c r="E49" s="11" t="s">
        <v>25</v>
      </c>
      <c r="F49" s="11"/>
      <c r="G49" s="35"/>
      <c r="H49" s="11">
        <f>IF(G39&gt;25000,25000,+G39)</f>
        <v>0</v>
      </c>
      <c r="I49" s="11">
        <f>IF(G39&gt;24999.99,0,IF((G39+I39)&gt;25000,25000-G39,+I39))</f>
        <v>0</v>
      </c>
      <c r="J49" s="11">
        <f>IF(G39+I39&gt;24999.99,0,IF((G39+I39+J39)&gt;25000,25000-(G39+I39),+J39))</f>
        <v>0</v>
      </c>
      <c r="K49" s="11">
        <f>IF(H39+I39+J39&gt;24999.99,0,IF((H39+I39+J39+K39)&gt;25000,25000-(H39+I39+J39),+K39))</f>
        <v>0</v>
      </c>
      <c r="L49" s="11">
        <f>IF(H39+I39+J39+K39&gt;24999.99,0,IF((H39+I39+J39+K39+L39)&gt;25000,25000-(H39+I39+J39+K39),+L39))</f>
        <v>0</v>
      </c>
      <c r="M49" s="11">
        <f>SUM(H49:L49)</f>
        <v>0</v>
      </c>
    </row>
    <row r="50" spans="1:13" ht="12" customHeight="1">
      <c r="A50" s="11">
        <f>A40</f>
        <v>0</v>
      </c>
      <c r="B50" s="11"/>
      <c r="C50" s="11"/>
      <c r="D50" s="26"/>
      <c r="E50" s="11"/>
      <c r="F50" s="11"/>
      <c r="G50" s="35"/>
      <c r="H50" s="11">
        <f>IF(G40&gt;25000,25000,+G40)</f>
        <v>0</v>
      </c>
      <c r="I50" s="11">
        <f>IF(G40&gt;24999.99,0,IF((G40+I40)&gt;25000,25000-G40,+I40))</f>
        <v>0</v>
      </c>
      <c r="J50" s="11">
        <f>IF(G40+I40&gt;24999.99,0,IF((G40+I40+J40)&gt;25000,25000-(G40+I40),+J40))</f>
        <v>0</v>
      </c>
      <c r="K50" s="11">
        <f>IF(H40+I40+J40&gt;24999.99,0,IF((H40+I40+J40+K40)&gt;25000,25000-(H40+I40+J40),+K40))</f>
        <v>0</v>
      </c>
      <c r="L50" s="11">
        <f>IF(H40+I40+J40+K40&gt;24999.99,0,IF((H40+I40+J40+K40+L40)&gt;25000,25000-(H40+I40+J40+K40),+L40))</f>
        <v>0</v>
      </c>
      <c r="M50" s="11">
        <f>SUM(H50:L50)</f>
        <v>0</v>
      </c>
    </row>
    <row r="51" spans="1:13">
      <c r="A51" s="183" t="s">
        <v>144</v>
      </c>
      <c r="B51" s="184"/>
      <c r="C51" s="184"/>
      <c r="D51" s="184"/>
      <c r="E51" s="184"/>
      <c r="F51" s="184"/>
      <c r="G51" s="184"/>
      <c r="H51" s="184"/>
      <c r="I51" s="184"/>
      <c r="J51" s="184"/>
      <c r="K51" s="184"/>
      <c r="L51" s="184"/>
      <c r="M51" s="184"/>
    </row>
    <row r="52" spans="1:13" ht="12" customHeight="1">
      <c r="A52" s="184"/>
      <c r="B52" s="184"/>
      <c r="C52" s="184"/>
      <c r="D52" s="184"/>
      <c r="E52" s="184"/>
      <c r="F52" s="184"/>
      <c r="G52" s="184"/>
      <c r="H52" s="184"/>
      <c r="I52" s="184"/>
      <c r="J52" s="184"/>
      <c r="K52" s="184"/>
      <c r="L52" s="184"/>
      <c r="M52" s="184"/>
    </row>
    <row r="53" spans="1:13" hidden="1">
      <c r="A53" s="184"/>
      <c r="B53" s="184"/>
      <c r="C53" s="184"/>
      <c r="D53" s="184"/>
      <c r="E53" s="184"/>
      <c r="F53" s="184"/>
      <c r="G53" s="184"/>
      <c r="H53" s="184"/>
      <c r="I53" s="184"/>
      <c r="J53" s="184"/>
      <c r="K53" s="184"/>
      <c r="L53" s="184"/>
      <c r="M53" s="184"/>
    </row>
    <row r="54" spans="1:13" hidden="1">
      <c r="A54" s="184"/>
      <c r="B54" s="184"/>
      <c r="C54" s="184"/>
      <c r="D54" s="184"/>
      <c r="E54" s="184"/>
      <c r="F54" s="184"/>
      <c r="G54" s="184"/>
      <c r="H54" s="184"/>
      <c r="I54" s="184"/>
      <c r="J54" s="184"/>
      <c r="K54" s="184"/>
      <c r="L54" s="184"/>
      <c r="M54" s="184"/>
    </row>
  </sheetData>
  <mergeCells count="1">
    <mergeCell ref="A51:M54"/>
  </mergeCells>
  <phoneticPr fontId="11" type="noConversion"/>
  <pageMargins left="0" right="0" top="0" bottom="0" header="0.5" footer="0.5"/>
  <pageSetup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selection activeCell="E9" sqref="E9"/>
    </sheetView>
  </sheetViews>
  <sheetFormatPr defaultRowHeight="12.75"/>
  <cols>
    <col min="1" max="1" width="17" bestFit="1" customWidth="1"/>
    <col min="2" max="2" width="8.28515625" style="147" bestFit="1" customWidth="1"/>
    <col min="3" max="3" width="11" style="143" bestFit="1" customWidth="1"/>
    <col min="4" max="4" width="7.28515625" bestFit="1" customWidth="1"/>
  </cols>
  <sheetData>
    <row r="1" spans="1:4" s="134" customFormat="1">
      <c r="A1" s="134" t="s">
        <v>110</v>
      </c>
      <c r="B1" s="150" t="s">
        <v>108</v>
      </c>
      <c r="C1" s="151" t="s">
        <v>109</v>
      </c>
      <c r="D1" s="134" t="s">
        <v>88</v>
      </c>
    </row>
    <row r="2" spans="1:4">
      <c r="A2" s="152" t="s">
        <v>95</v>
      </c>
      <c r="B2" s="153">
        <v>100</v>
      </c>
      <c r="C2" s="146">
        <v>10</v>
      </c>
      <c r="D2">
        <f>B2*C2</f>
        <v>1000</v>
      </c>
    </row>
    <row r="3" spans="1:4">
      <c r="A3" s="152" t="s">
        <v>96</v>
      </c>
      <c r="B3" s="153">
        <v>20</v>
      </c>
      <c r="C3" s="146">
        <v>14</v>
      </c>
      <c r="D3">
        <f t="shared" ref="D3:D6" si="0">B3*C3</f>
        <v>280</v>
      </c>
    </row>
    <row r="4" spans="1:4">
      <c r="A4" s="152" t="s">
        <v>97</v>
      </c>
      <c r="B4" s="153">
        <v>2</v>
      </c>
      <c r="C4" s="146">
        <v>300</v>
      </c>
      <c r="D4">
        <f t="shared" si="0"/>
        <v>600</v>
      </c>
    </row>
    <row r="5" spans="1:4">
      <c r="A5" s="152" t="s">
        <v>98</v>
      </c>
      <c r="B5" s="153">
        <v>1</v>
      </c>
      <c r="C5" s="146">
        <v>1600</v>
      </c>
      <c r="D5">
        <f t="shared" si="0"/>
        <v>1600</v>
      </c>
    </row>
    <row r="6" spans="1:4">
      <c r="A6" s="152" t="s">
        <v>99</v>
      </c>
      <c r="B6" s="153">
        <v>1</v>
      </c>
      <c r="C6" s="146">
        <v>20</v>
      </c>
      <c r="D6">
        <f t="shared" si="0"/>
        <v>20</v>
      </c>
    </row>
    <row r="7" spans="1:4">
      <c r="D7">
        <f>SUM(D2:D6)</f>
        <v>3500</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
  <sheetViews>
    <sheetView workbookViewId="0">
      <selection activeCell="F3" sqref="F3"/>
    </sheetView>
  </sheetViews>
  <sheetFormatPr defaultRowHeight="12.75"/>
  <cols>
    <col min="1" max="1" width="13.28515625" bestFit="1" customWidth="1"/>
    <col min="2" max="2" width="21.7109375" bestFit="1" customWidth="1"/>
    <col min="3" max="3" width="18.28515625" bestFit="1" customWidth="1"/>
    <col min="4" max="4" width="15.42578125" style="147" bestFit="1" customWidth="1"/>
    <col min="5" max="5" width="14.42578125" bestFit="1" customWidth="1"/>
    <col min="6" max="6" width="8.28515625" bestFit="1" customWidth="1"/>
  </cols>
  <sheetData>
    <row r="1" spans="1:6" s="134" customFormat="1">
      <c r="A1" s="134" t="s">
        <v>113</v>
      </c>
      <c r="B1" s="134" t="s">
        <v>114</v>
      </c>
      <c r="C1" s="134" t="s">
        <v>115</v>
      </c>
      <c r="D1" s="150" t="s">
        <v>119</v>
      </c>
      <c r="E1" s="134" t="s">
        <v>120</v>
      </c>
      <c r="F1" s="134" t="s">
        <v>88</v>
      </c>
    </row>
    <row r="2" spans="1:6">
      <c r="A2" s="152" t="s">
        <v>116</v>
      </c>
      <c r="B2" s="152" t="s">
        <v>118</v>
      </c>
      <c r="C2" s="152" t="s">
        <v>117</v>
      </c>
      <c r="D2" s="153">
        <v>50</v>
      </c>
      <c r="E2" s="152">
        <v>260</v>
      </c>
      <c r="F2">
        <f>D2*E2</f>
        <v>13000</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
  <sheetViews>
    <sheetView workbookViewId="0">
      <selection activeCell="E15" sqref="E15"/>
    </sheetView>
  </sheetViews>
  <sheetFormatPr defaultRowHeight="12.75"/>
  <cols>
    <col min="1" max="1" width="9.28515625" style="138" customWidth="1"/>
    <col min="2" max="2" width="15.42578125" style="138" customWidth="1"/>
    <col min="3" max="3" width="11.28515625" style="138" customWidth="1"/>
    <col min="4" max="4" width="8" style="136" customWidth="1"/>
    <col min="5" max="5" width="10.28515625" style="142" bestFit="1" customWidth="1"/>
    <col min="6" max="6" width="9.7109375" style="142" customWidth="1"/>
    <col min="7" max="7" width="12.5703125" style="142" customWidth="1"/>
    <col min="8" max="8" width="14" style="142" customWidth="1"/>
    <col min="9" max="9" width="11.5703125" style="143" customWidth="1"/>
  </cols>
  <sheetData>
    <row r="1" spans="1:10" s="134" customFormat="1" ht="51">
      <c r="A1" s="137" t="s">
        <v>80</v>
      </c>
      <c r="B1" s="137" t="s">
        <v>93</v>
      </c>
      <c r="C1" s="137" t="s">
        <v>81</v>
      </c>
      <c r="D1" s="135" t="s">
        <v>82</v>
      </c>
      <c r="E1" s="141" t="s">
        <v>89</v>
      </c>
      <c r="F1" s="141" t="s">
        <v>83</v>
      </c>
      <c r="G1" s="141" t="s">
        <v>84</v>
      </c>
      <c r="H1" s="141" t="s">
        <v>86</v>
      </c>
      <c r="I1" s="141" t="s">
        <v>85</v>
      </c>
      <c r="J1" s="134" t="s">
        <v>88</v>
      </c>
    </row>
    <row r="2" spans="1:10">
      <c r="A2" s="144">
        <v>2</v>
      </c>
      <c r="B2" s="140" t="s">
        <v>90</v>
      </c>
      <c r="C2" s="144">
        <v>2</v>
      </c>
      <c r="D2" s="136">
        <f>A2*46</f>
        <v>92</v>
      </c>
      <c r="E2" s="142">
        <f>A2*C2*93</f>
        <v>372</v>
      </c>
      <c r="F2" s="145">
        <v>400</v>
      </c>
      <c r="G2" s="145">
        <v>500</v>
      </c>
      <c r="H2" s="145">
        <f>25*4</f>
        <v>100</v>
      </c>
      <c r="I2" s="146">
        <v>50</v>
      </c>
      <c r="J2">
        <f>SUM(D2:I2)</f>
        <v>1514</v>
      </c>
    </row>
    <row r="3" spans="1:10">
      <c r="A3" s="144">
        <v>2</v>
      </c>
      <c r="B3" s="140" t="s">
        <v>91</v>
      </c>
      <c r="C3" s="144">
        <v>2</v>
      </c>
      <c r="D3" s="136">
        <f>A3*54</f>
        <v>108</v>
      </c>
      <c r="E3" s="142">
        <f>A3*C3*135</f>
        <v>540</v>
      </c>
      <c r="F3" s="145">
        <v>400</v>
      </c>
      <c r="G3" s="145">
        <v>500</v>
      </c>
      <c r="H3" s="145">
        <f t="shared" ref="H3:H5" si="0">25*4</f>
        <v>100</v>
      </c>
      <c r="I3" s="146">
        <v>50</v>
      </c>
      <c r="J3">
        <f t="shared" ref="J3:J5" si="1">SUM(D3:I3)</f>
        <v>1698</v>
      </c>
    </row>
    <row r="4" spans="1:10">
      <c r="A4" s="144">
        <v>2</v>
      </c>
      <c r="B4" s="140" t="s">
        <v>92</v>
      </c>
      <c r="C4" s="144">
        <v>2</v>
      </c>
      <c r="D4" s="136">
        <f>A4*60</f>
        <v>120</v>
      </c>
      <c r="E4" s="142">
        <f>A4*C4*135</f>
        <v>540</v>
      </c>
      <c r="F4" s="145">
        <v>400</v>
      </c>
      <c r="G4" s="145">
        <v>500</v>
      </c>
      <c r="H4" s="145">
        <f t="shared" si="0"/>
        <v>100</v>
      </c>
      <c r="I4" s="146">
        <v>50</v>
      </c>
      <c r="J4">
        <f t="shared" si="1"/>
        <v>1710</v>
      </c>
    </row>
    <row r="5" spans="1:10">
      <c r="A5" s="144">
        <v>2</v>
      </c>
      <c r="B5" s="140" t="s">
        <v>87</v>
      </c>
      <c r="C5" s="144">
        <v>2</v>
      </c>
      <c r="D5" s="136">
        <f t="shared" ref="D5" si="2">A5*65</f>
        <v>130</v>
      </c>
      <c r="E5" s="142">
        <f t="shared" ref="E5" si="3">A5*C5*225</f>
        <v>900</v>
      </c>
      <c r="F5" s="145">
        <v>400</v>
      </c>
      <c r="G5" s="145">
        <v>500</v>
      </c>
      <c r="H5" s="145">
        <f t="shared" si="0"/>
        <v>100</v>
      </c>
      <c r="I5" s="146">
        <v>50</v>
      </c>
      <c r="J5">
        <f t="shared" si="1"/>
        <v>2080</v>
      </c>
    </row>
    <row r="8" spans="1:10" ht="14.25">
      <c r="A8" s="139" t="s">
        <v>94</v>
      </c>
    </row>
  </sheetData>
  <hyperlinks>
    <hyperlink ref="A8" r:id="rId1" display="http://doa.louisiana.gov/osp/travel/travelpolicy/LAtravelguide2012-13.pdf " xr:uid="{00000000-0004-0000-0600-000000000000}"/>
  </hyperlinks>
  <pageMargins left="0.25" right="0.25" top="0.75" bottom="0.75" header="0.3" footer="0.3"/>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
  <sheetViews>
    <sheetView workbookViewId="0">
      <selection activeCell="E12" sqref="E12"/>
    </sheetView>
  </sheetViews>
  <sheetFormatPr defaultRowHeight="12.75"/>
  <cols>
    <col min="1" max="1" width="22.5703125" bestFit="1" customWidth="1"/>
    <col min="2" max="2" width="8.28515625" style="147" bestFit="1" customWidth="1"/>
    <col min="3" max="3" width="11" bestFit="1" customWidth="1"/>
    <col min="4" max="4" width="8.28515625" bestFit="1" customWidth="1"/>
  </cols>
  <sheetData>
    <row r="1" spans="1:4">
      <c r="A1" s="134" t="s">
        <v>110</v>
      </c>
      <c r="B1" s="150" t="s">
        <v>108</v>
      </c>
      <c r="C1" s="151" t="s">
        <v>109</v>
      </c>
      <c r="D1" s="134" t="s">
        <v>88</v>
      </c>
    </row>
    <row r="2" spans="1:4">
      <c r="A2" s="152" t="s">
        <v>105</v>
      </c>
      <c r="B2" s="153">
        <v>100</v>
      </c>
      <c r="C2" s="152">
        <v>6</v>
      </c>
      <c r="D2">
        <f>B2*C2</f>
        <v>600</v>
      </c>
    </row>
    <row r="3" spans="1:4">
      <c r="A3" s="152" t="s">
        <v>101</v>
      </c>
      <c r="B3" s="153">
        <v>1</v>
      </c>
      <c r="C3" s="152">
        <v>1000</v>
      </c>
      <c r="D3">
        <f t="shared" ref="D3:D6" si="0">B3*C3</f>
        <v>1000</v>
      </c>
    </row>
    <row r="4" spans="1:4">
      <c r="A4" s="152" t="s">
        <v>102</v>
      </c>
      <c r="B4" s="153">
        <v>1</v>
      </c>
      <c r="C4" s="152">
        <v>300</v>
      </c>
      <c r="D4">
        <f t="shared" si="0"/>
        <v>300</v>
      </c>
    </row>
    <row r="5" spans="1:4">
      <c r="A5" s="152" t="s">
        <v>103</v>
      </c>
      <c r="B5" s="153">
        <v>300</v>
      </c>
      <c r="C5" s="152">
        <v>50</v>
      </c>
      <c r="D5">
        <f t="shared" si="0"/>
        <v>15000</v>
      </c>
    </row>
    <row r="6" spans="1:4">
      <c r="A6" s="152" t="s">
        <v>104</v>
      </c>
      <c r="B6" s="153">
        <v>1</v>
      </c>
      <c r="C6" s="152">
        <v>1600</v>
      </c>
      <c r="D6">
        <f t="shared" si="0"/>
        <v>1600</v>
      </c>
    </row>
    <row r="7" spans="1:4">
      <c r="D7">
        <f>SUM(D2:D6)</f>
        <v>18500</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2"/>
  <sheetViews>
    <sheetView view="pageBreakPreview" zoomScale="65" zoomScaleNormal="50" zoomScaleSheetLayoutView="65" workbookViewId="0">
      <selection activeCell="L12" sqref="L12"/>
    </sheetView>
  </sheetViews>
  <sheetFormatPr defaultRowHeight="12.75"/>
  <cols>
    <col min="1" max="1" width="91.28515625" bestFit="1" customWidth="1"/>
    <col min="2" max="2" width="20.5703125" bestFit="1" customWidth="1"/>
    <col min="3" max="3" width="7.28515625" bestFit="1" customWidth="1"/>
    <col min="4" max="4" width="24.7109375" bestFit="1" customWidth="1"/>
    <col min="5" max="5" width="11.5703125" bestFit="1" customWidth="1"/>
    <col min="6" max="7" width="7.42578125" bestFit="1" customWidth="1"/>
    <col min="8" max="8" width="17" bestFit="1" customWidth="1"/>
    <col min="9" max="9" width="16.5703125" bestFit="1" customWidth="1"/>
    <col min="10" max="11" width="17" bestFit="1" customWidth="1"/>
    <col min="12" max="12" width="19" bestFit="1" customWidth="1"/>
    <col min="13" max="13" width="16.5703125" bestFit="1" customWidth="1"/>
    <col min="14" max="14" width="12.42578125" bestFit="1" customWidth="1"/>
    <col min="15" max="15" width="1.7109375" bestFit="1" customWidth="1"/>
    <col min="16" max="16" width="1.5703125" bestFit="1" customWidth="1"/>
  </cols>
  <sheetData>
    <row r="1" spans="1:15" s="1" customFormat="1" ht="23.25">
      <c r="A1" s="117" t="s">
        <v>74</v>
      </c>
      <c r="D1" s="34"/>
      <c r="G1" s="43"/>
    </row>
    <row r="2" spans="1:15" s="1" customFormat="1" ht="15.75">
      <c r="A2" s="63" t="s">
        <v>33</v>
      </c>
      <c r="D2" s="34"/>
      <c r="G2" s="43"/>
    </row>
    <row r="3" spans="1:15" s="1" customFormat="1" ht="15.75">
      <c r="A3" s="87" t="s">
        <v>66</v>
      </c>
      <c r="D3" s="34"/>
      <c r="G3" s="43"/>
    </row>
    <row r="4" spans="1:15" s="3" customFormat="1">
      <c r="A4" s="62" t="s">
        <v>0</v>
      </c>
      <c r="B4" s="2"/>
      <c r="C4" s="2"/>
      <c r="D4" s="118" t="s">
        <v>121</v>
      </c>
      <c r="G4" s="59"/>
      <c r="J4" s="1"/>
      <c r="K4" s="1"/>
      <c r="L4" s="1" t="s">
        <v>60</v>
      </c>
      <c r="M4" s="92">
        <v>199300</v>
      </c>
    </row>
    <row r="5" spans="1:15" s="3" customFormat="1" ht="15.75">
      <c r="A5" s="118" t="s">
        <v>145</v>
      </c>
      <c r="B5" s="1"/>
      <c r="C5" s="1"/>
      <c r="D5" s="4"/>
      <c r="G5" s="59"/>
      <c r="J5" s="1"/>
      <c r="K5" s="1"/>
      <c r="L5" s="1" t="s">
        <v>65</v>
      </c>
      <c r="M5" s="128">
        <v>0.03</v>
      </c>
    </row>
    <row r="6" spans="1:15" s="3" customFormat="1" ht="15.75">
      <c r="A6" s="118" t="s">
        <v>32</v>
      </c>
      <c r="B6" s="1"/>
      <c r="C6" s="1"/>
      <c r="D6" s="4"/>
      <c r="G6" s="59"/>
      <c r="J6" s="1"/>
      <c r="K6" s="1"/>
      <c r="L6" s="1" t="s">
        <v>62</v>
      </c>
      <c r="M6" s="129">
        <v>12</v>
      </c>
    </row>
    <row r="7" spans="1:15" s="3" customFormat="1">
      <c r="A7" s="5"/>
      <c r="D7" s="60"/>
      <c r="G7" s="61"/>
    </row>
    <row r="8" spans="1:15" s="3" customFormat="1" ht="15.75">
      <c r="A8" s="4"/>
      <c r="D8" s="60"/>
      <c r="G8" s="61"/>
    </row>
    <row r="9" spans="1:15" s="1" customFormat="1" ht="15" customHeight="1">
      <c r="A9" s="71" t="s">
        <v>40</v>
      </c>
      <c r="B9" s="72"/>
      <c r="C9" s="72"/>
      <c r="D9" s="73"/>
      <c r="E9" s="74" t="s">
        <v>1</v>
      </c>
      <c r="F9" s="74"/>
      <c r="G9" s="75"/>
      <c r="H9" s="76" t="s">
        <v>2</v>
      </c>
      <c r="K9" s="4"/>
    </row>
    <row r="10" spans="1:15" s="1" customFormat="1" ht="20.100000000000001" customHeight="1">
      <c r="A10" s="77"/>
      <c r="B10" s="85"/>
      <c r="C10" s="85"/>
      <c r="D10" s="78"/>
      <c r="E10" s="119">
        <v>44531</v>
      </c>
      <c r="F10" s="79"/>
      <c r="G10" s="80"/>
      <c r="H10" s="120">
        <v>46356</v>
      </c>
    </row>
    <row r="11" spans="1:15" s="3" customFormat="1">
      <c r="A11" s="83" t="s">
        <v>3</v>
      </c>
      <c r="B11" s="44"/>
      <c r="C11" s="101"/>
      <c r="D11" s="49" t="s">
        <v>63</v>
      </c>
      <c r="E11" s="51" t="s">
        <v>4</v>
      </c>
      <c r="F11" s="51"/>
      <c r="G11" s="52" t="s">
        <v>63</v>
      </c>
      <c r="H11" s="121">
        <v>0.95454545454545459</v>
      </c>
      <c r="I11" s="121">
        <v>0.95652173913043481</v>
      </c>
      <c r="J11" s="121">
        <v>0.95833333333333337</v>
      </c>
      <c r="K11" s="122">
        <v>0.96</v>
      </c>
      <c r="L11" s="122">
        <v>0.96153846153846156</v>
      </c>
      <c r="M11" s="67"/>
    </row>
    <row r="12" spans="1:15" s="1" customFormat="1" ht="12.75" customHeight="1">
      <c r="A12" s="47"/>
      <c r="B12" s="50" t="s">
        <v>5</v>
      </c>
      <c r="C12" s="102" t="s">
        <v>61</v>
      </c>
      <c r="D12" s="49" t="s">
        <v>39</v>
      </c>
      <c r="E12" s="51" t="s">
        <v>6</v>
      </c>
      <c r="F12" s="51" t="s">
        <v>61</v>
      </c>
      <c r="G12" s="52" t="s">
        <v>39</v>
      </c>
      <c r="H12" s="56" t="s">
        <v>7</v>
      </c>
      <c r="I12" s="56" t="s">
        <v>8</v>
      </c>
      <c r="J12" s="56" t="s">
        <v>9</v>
      </c>
      <c r="K12" s="56" t="s">
        <v>10</v>
      </c>
      <c r="L12" s="58" t="s">
        <v>11</v>
      </c>
      <c r="M12" s="68" t="s">
        <v>12</v>
      </c>
    </row>
    <row r="13" spans="1:15" s="3" customFormat="1" ht="12" customHeight="1">
      <c r="A13" s="48" t="s">
        <v>13</v>
      </c>
      <c r="B13" s="46" t="s">
        <v>12</v>
      </c>
      <c r="C13" s="103" t="s">
        <v>43</v>
      </c>
      <c r="D13" s="84" t="s">
        <v>43</v>
      </c>
      <c r="E13" s="48" t="s">
        <v>14</v>
      </c>
      <c r="F13" s="48" t="s">
        <v>15</v>
      </c>
      <c r="G13" s="53" t="s">
        <v>15</v>
      </c>
      <c r="H13" s="57" t="s">
        <v>16</v>
      </c>
      <c r="I13" s="57" t="s">
        <v>16</v>
      </c>
      <c r="J13" s="57" t="s">
        <v>16</v>
      </c>
      <c r="K13" s="57" t="s">
        <v>16</v>
      </c>
      <c r="L13" s="65" t="s">
        <v>17</v>
      </c>
      <c r="M13" s="57" t="s">
        <v>16</v>
      </c>
    </row>
    <row r="14" spans="1:15" s="1" customFormat="1" ht="17.100000000000001" customHeight="1">
      <c r="A14" s="123" t="s">
        <v>132</v>
      </c>
      <c r="B14" s="45" t="s">
        <v>23</v>
      </c>
      <c r="C14" s="112">
        <v>0.25</v>
      </c>
      <c r="D14" s="100">
        <f>C14*$M$6</f>
        <v>3</v>
      </c>
      <c r="E14" s="114">
        <v>225000</v>
      </c>
      <c r="F14" s="112">
        <v>0.25</v>
      </c>
      <c r="G14" s="99">
        <f>F14*$M$6</f>
        <v>3</v>
      </c>
      <c r="H14" s="54">
        <f>IF(E14&gt;$M$4,$M$4*(G14/12),E14*(G14/12))</f>
        <v>49825</v>
      </c>
      <c r="I14" s="54">
        <f>H14*(1+$M$5)</f>
        <v>51319.75</v>
      </c>
      <c r="J14" s="54">
        <f>I14*(1+$M$5)</f>
        <v>52859.342499999999</v>
      </c>
      <c r="K14" s="54">
        <f>J14*(1+$M$5)</f>
        <v>54445.122775000003</v>
      </c>
      <c r="L14" s="54">
        <f>K14*(1+$M$5)</f>
        <v>56078.476458250007</v>
      </c>
      <c r="M14" s="66"/>
    </row>
    <row r="15" spans="1:15" s="1" customFormat="1" ht="26.25" customHeight="1">
      <c r="A15" s="124" t="s">
        <v>70</v>
      </c>
      <c r="B15" s="15" t="s">
        <v>26</v>
      </c>
      <c r="C15" s="112">
        <v>1</v>
      </c>
      <c r="D15" s="100">
        <f>C15*$M$6</f>
        <v>12</v>
      </c>
      <c r="E15" s="115">
        <v>45000</v>
      </c>
      <c r="F15" s="112">
        <v>1</v>
      </c>
      <c r="G15" s="99">
        <f t="shared" ref="G15:G24" si="0">F15*$M$6</f>
        <v>12</v>
      </c>
      <c r="H15" s="54">
        <f t="shared" ref="H15:H24" si="1">IF(E15&gt;$M$4,$M$4*(G15/12),E15*(G15/12))</f>
        <v>45000</v>
      </c>
      <c r="I15" s="54">
        <f>H15*(1+$M$5)</f>
        <v>46350</v>
      </c>
      <c r="J15" s="54">
        <f t="shared" ref="J15:L24" si="2">I15*(1+$M$5)</f>
        <v>47740.5</v>
      </c>
      <c r="K15" s="54">
        <f t="shared" si="2"/>
        <v>49172.715000000004</v>
      </c>
      <c r="L15" s="54">
        <f t="shared" si="2"/>
        <v>50647.896450000007</v>
      </c>
      <c r="M15" s="11"/>
      <c r="O15" s="1" t="s">
        <v>25</v>
      </c>
    </row>
    <row r="16" spans="1:15" s="1" customFormat="1" ht="15">
      <c r="A16" s="124" t="s">
        <v>122</v>
      </c>
      <c r="B16" s="15" t="s">
        <v>26</v>
      </c>
      <c r="C16" s="112">
        <v>1</v>
      </c>
      <c r="D16" s="100">
        <f t="shared" ref="D16:D24" si="3">C16*$M$6</f>
        <v>12</v>
      </c>
      <c r="E16" s="115">
        <v>33000</v>
      </c>
      <c r="F16" s="112">
        <v>1</v>
      </c>
      <c r="G16" s="99">
        <f t="shared" si="0"/>
        <v>12</v>
      </c>
      <c r="H16" s="54">
        <f t="shared" si="1"/>
        <v>33000</v>
      </c>
      <c r="I16" s="54">
        <f t="shared" ref="I16:I24" si="4">H16*(1+$M$5)</f>
        <v>33990</v>
      </c>
      <c r="J16" s="54">
        <f t="shared" si="2"/>
        <v>35009.700000000004</v>
      </c>
      <c r="K16" s="54">
        <f t="shared" si="2"/>
        <v>36059.991000000002</v>
      </c>
      <c r="L16" s="54">
        <f t="shared" si="2"/>
        <v>37141.790730000001</v>
      </c>
      <c r="M16" s="11"/>
    </row>
    <row r="17" spans="1:13" s="1" customFormat="1" ht="17.100000000000001" customHeight="1">
      <c r="A17" s="124" t="s">
        <v>27</v>
      </c>
      <c r="B17" s="9" t="s">
        <v>29</v>
      </c>
      <c r="C17" s="113">
        <v>1</v>
      </c>
      <c r="D17" s="100">
        <f t="shared" si="3"/>
        <v>12</v>
      </c>
      <c r="E17" s="115">
        <v>37000</v>
      </c>
      <c r="F17" s="113">
        <v>1</v>
      </c>
      <c r="G17" s="99">
        <f t="shared" si="0"/>
        <v>12</v>
      </c>
      <c r="H17" s="54">
        <f t="shared" si="1"/>
        <v>37000</v>
      </c>
      <c r="I17" s="54">
        <f t="shared" si="4"/>
        <v>38110</v>
      </c>
      <c r="J17" s="54">
        <f t="shared" si="2"/>
        <v>39253.300000000003</v>
      </c>
      <c r="K17" s="54">
        <f t="shared" si="2"/>
        <v>40430.899000000005</v>
      </c>
      <c r="L17" s="54">
        <f t="shared" si="2"/>
        <v>41643.825970000005</v>
      </c>
      <c r="M17" s="11"/>
    </row>
    <row r="18" spans="1:13" s="1" customFormat="1" ht="17.100000000000001" customHeight="1">
      <c r="A18" s="124" t="s">
        <v>27</v>
      </c>
      <c r="B18" s="9" t="s">
        <v>29</v>
      </c>
      <c r="C18" s="113">
        <v>1</v>
      </c>
      <c r="D18" s="100">
        <f t="shared" si="3"/>
        <v>12</v>
      </c>
      <c r="E18" s="115">
        <v>37000</v>
      </c>
      <c r="F18" s="113">
        <v>1</v>
      </c>
      <c r="G18" s="99">
        <f t="shared" si="0"/>
        <v>12</v>
      </c>
      <c r="H18" s="54">
        <f t="shared" si="1"/>
        <v>37000</v>
      </c>
      <c r="I18" s="54">
        <f t="shared" si="4"/>
        <v>38110</v>
      </c>
      <c r="J18" s="54">
        <f t="shared" si="2"/>
        <v>39253.300000000003</v>
      </c>
      <c r="K18" s="54">
        <f t="shared" si="2"/>
        <v>40430.899000000005</v>
      </c>
      <c r="L18" s="54">
        <f t="shared" si="2"/>
        <v>41643.825970000005</v>
      </c>
      <c r="M18" s="11"/>
    </row>
    <row r="19" spans="1:13" s="1" customFormat="1" ht="17.100000000000001" customHeight="1">
      <c r="A19" s="125" t="s">
        <v>123</v>
      </c>
      <c r="B19" s="104" t="s">
        <v>134</v>
      </c>
      <c r="C19" s="113">
        <v>0.5</v>
      </c>
      <c r="D19" s="100">
        <f t="shared" si="3"/>
        <v>6</v>
      </c>
      <c r="E19" s="115">
        <v>22000</v>
      </c>
      <c r="F19" s="113">
        <v>0.5</v>
      </c>
      <c r="G19" s="99">
        <f t="shared" si="0"/>
        <v>6</v>
      </c>
      <c r="H19" s="54">
        <f t="shared" si="1"/>
        <v>11000</v>
      </c>
      <c r="I19" s="54">
        <f t="shared" si="4"/>
        <v>11330</v>
      </c>
      <c r="J19" s="54">
        <f t="shared" si="2"/>
        <v>11669.9</v>
      </c>
      <c r="K19" s="54">
        <f t="shared" si="2"/>
        <v>12019.996999999999</v>
      </c>
      <c r="L19" s="54">
        <f t="shared" si="2"/>
        <v>12380.59691</v>
      </c>
      <c r="M19" s="11"/>
    </row>
    <row r="20" spans="1:13" s="1" customFormat="1" ht="17.100000000000001" customHeight="1">
      <c r="A20" s="125" t="s">
        <v>124</v>
      </c>
      <c r="B20" s="104" t="s">
        <v>134</v>
      </c>
      <c r="C20" s="113">
        <v>0.5</v>
      </c>
      <c r="D20" s="100">
        <f t="shared" si="3"/>
        <v>6</v>
      </c>
      <c r="E20" s="115">
        <v>22000</v>
      </c>
      <c r="F20" s="113">
        <v>0.5</v>
      </c>
      <c r="G20" s="99">
        <f t="shared" si="0"/>
        <v>6</v>
      </c>
      <c r="H20" s="54">
        <f>IF(E20&gt;$M$4,$M$4*(G20/12),E20*(G20/12))</f>
        <v>11000</v>
      </c>
      <c r="I20" s="54">
        <f t="shared" si="4"/>
        <v>11330</v>
      </c>
      <c r="J20" s="54">
        <f t="shared" si="2"/>
        <v>11669.9</v>
      </c>
      <c r="K20" s="54">
        <f t="shared" si="2"/>
        <v>12019.996999999999</v>
      </c>
      <c r="L20" s="54">
        <f t="shared" si="2"/>
        <v>12380.59691</v>
      </c>
      <c r="M20" s="11"/>
    </row>
    <row r="21" spans="1:13" s="1" customFormat="1" ht="17.100000000000001" customHeight="1">
      <c r="A21" s="126" t="s">
        <v>125</v>
      </c>
      <c r="B21" s="11" t="s">
        <v>67</v>
      </c>
      <c r="C21" s="113">
        <v>0.5</v>
      </c>
      <c r="D21" s="100">
        <f t="shared" si="3"/>
        <v>6</v>
      </c>
      <c r="E21" s="115">
        <v>17000</v>
      </c>
      <c r="F21" s="113">
        <v>0.5</v>
      </c>
      <c r="G21" s="99">
        <f t="shared" si="0"/>
        <v>6</v>
      </c>
      <c r="H21" s="54">
        <f t="shared" si="1"/>
        <v>8500</v>
      </c>
      <c r="I21" s="54">
        <f t="shared" si="4"/>
        <v>8755</v>
      </c>
      <c r="J21" s="54">
        <f t="shared" si="2"/>
        <v>9017.65</v>
      </c>
      <c r="K21" s="54">
        <f t="shared" si="2"/>
        <v>9288.1795000000002</v>
      </c>
      <c r="L21" s="54">
        <f t="shared" si="2"/>
        <v>9566.824885</v>
      </c>
      <c r="M21" s="11"/>
    </row>
    <row r="22" spans="1:13" s="1" customFormat="1" ht="17.100000000000001" customHeight="1">
      <c r="A22" s="126" t="s">
        <v>126</v>
      </c>
      <c r="B22" s="11" t="s">
        <v>67</v>
      </c>
      <c r="C22" s="113">
        <v>0.5</v>
      </c>
      <c r="D22" s="100">
        <f t="shared" si="3"/>
        <v>6</v>
      </c>
      <c r="E22" s="115">
        <v>17000</v>
      </c>
      <c r="F22" s="113">
        <v>0.5</v>
      </c>
      <c r="G22" s="99">
        <f t="shared" si="0"/>
        <v>6</v>
      </c>
      <c r="H22" s="54">
        <f>IF(E22&gt;$M$4,$M$4*(G22/12),E22*(G22/12))</f>
        <v>8500</v>
      </c>
      <c r="I22" s="54">
        <f t="shared" si="4"/>
        <v>8755</v>
      </c>
      <c r="J22" s="54">
        <f t="shared" si="2"/>
        <v>9017.65</v>
      </c>
      <c r="K22" s="54">
        <f t="shared" si="2"/>
        <v>9288.1795000000002</v>
      </c>
      <c r="L22" s="54">
        <f t="shared" si="2"/>
        <v>9566.824885</v>
      </c>
      <c r="M22" s="11"/>
    </row>
    <row r="23" spans="1:13" s="1" customFormat="1" ht="17.100000000000001" customHeight="1">
      <c r="A23" s="127" t="s">
        <v>127</v>
      </c>
      <c r="B23" s="11" t="s">
        <v>31</v>
      </c>
      <c r="C23" s="113">
        <v>1</v>
      </c>
      <c r="D23" s="100">
        <f t="shared" si="3"/>
        <v>12</v>
      </c>
      <c r="E23" s="115">
        <v>27000</v>
      </c>
      <c r="F23" s="113">
        <v>1</v>
      </c>
      <c r="G23" s="99">
        <f t="shared" si="0"/>
        <v>12</v>
      </c>
      <c r="H23" s="54">
        <f t="shared" si="1"/>
        <v>27000</v>
      </c>
      <c r="I23" s="54">
        <f t="shared" si="4"/>
        <v>27810</v>
      </c>
      <c r="J23" s="54">
        <f t="shared" si="2"/>
        <v>28644.3</v>
      </c>
      <c r="K23" s="54">
        <f t="shared" si="2"/>
        <v>29503.629000000001</v>
      </c>
      <c r="L23" s="54">
        <f t="shared" si="2"/>
        <v>30388.737870000001</v>
      </c>
      <c r="M23" s="11"/>
    </row>
    <row r="24" spans="1:13" s="1" customFormat="1" ht="17.100000000000001" customHeight="1">
      <c r="A24" s="127" t="s">
        <v>128</v>
      </c>
      <c r="B24" s="11" t="s">
        <v>31</v>
      </c>
      <c r="C24" s="113">
        <v>1</v>
      </c>
      <c r="D24" s="100">
        <f t="shared" si="3"/>
        <v>12</v>
      </c>
      <c r="E24" s="115">
        <v>27000</v>
      </c>
      <c r="F24" s="113">
        <v>1</v>
      </c>
      <c r="G24" s="99">
        <f t="shared" si="0"/>
        <v>12</v>
      </c>
      <c r="H24" s="54">
        <f t="shared" si="1"/>
        <v>27000</v>
      </c>
      <c r="I24" s="54">
        <f t="shared" si="4"/>
        <v>27810</v>
      </c>
      <c r="J24" s="54">
        <f t="shared" si="2"/>
        <v>28644.3</v>
      </c>
      <c r="K24" s="54">
        <f t="shared" si="2"/>
        <v>29503.629000000001</v>
      </c>
      <c r="L24" s="54">
        <f t="shared" si="2"/>
        <v>30388.737870000001</v>
      </c>
      <c r="M24" s="11"/>
    </row>
    <row r="25" spans="1:13" s="1" customFormat="1" ht="17.100000000000001" customHeight="1">
      <c r="A25" s="16" t="s">
        <v>133</v>
      </c>
      <c r="B25" s="17"/>
      <c r="C25" s="97"/>
      <c r="D25" s="29"/>
      <c r="E25" s="17"/>
      <c r="F25" s="17"/>
      <c r="G25" s="37"/>
      <c r="H25" s="14"/>
      <c r="I25" s="11" t="s">
        <v>25</v>
      </c>
      <c r="J25" s="11"/>
      <c r="K25" s="11"/>
      <c r="L25" s="11"/>
      <c r="M25" s="11"/>
    </row>
    <row r="26" spans="1:13" s="1" customFormat="1" ht="17.100000000000001" customHeight="1">
      <c r="A26" s="11"/>
      <c r="B26" s="11"/>
      <c r="C26" s="11"/>
      <c r="D26" s="26"/>
      <c r="E26" s="11"/>
      <c r="F26" s="11"/>
      <c r="G26" s="35"/>
      <c r="H26" s="14"/>
      <c r="I26" s="11"/>
      <c r="J26" s="11"/>
      <c r="K26" s="11"/>
      <c r="L26" s="11"/>
      <c r="M26" s="11"/>
    </row>
    <row r="27" spans="1:13" s="1" customFormat="1" ht="17.100000000000001" customHeight="1">
      <c r="A27" s="69" t="s">
        <v>18</v>
      </c>
      <c r="B27" s="11"/>
      <c r="C27" s="11"/>
      <c r="D27" s="26"/>
      <c r="E27" s="11"/>
      <c r="F27" s="11"/>
      <c r="G27" s="35"/>
      <c r="H27" s="10">
        <f>SUM(H14:H26)</f>
        <v>294825</v>
      </c>
      <c r="I27" s="10">
        <f>SUM(I14:I26)</f>
        <v>303669.75</v>
      </c>
      <c r="J27" s="10">
        <f>SUM(J14:J26)</f>
        <v>312779.84249999997</v>
      </c>
      <c r="K27" s="10">
        <f>SUM(K14:K26)</f>
        <v>322163.23777500005</v>
      </c>
      <c r="L27" s="10">
        <f>SUM(L14:L26)</f>
        <v>331828.13490825007</v>
      </c>
      <c r="M27" s="10">
        <f>SUM(H27:L27)</f>
        <v>1565265.9651832501</v>
      </c>
    </row>
    <row r="28" spans="1:13" s="1" customFormat="1" ht="17.100000000000001" customHeight="1">
      <c r="A28" s="123" t="s">
        <v>135</v>
      </c>
      <c r="B28" s="11"/>
      <c r="C28" s="11"/>
      <c r="D28" s="26"/>
      <c r="E28" s="11"/>
      <c r="F28" s="11"/>
      <c r="G28" s="35"/>
      <c r="H28" s="10">
        <f>SUM(H14:H18)*46%</f>
        <v>92839.5</v>
      </c>
      <c r="I28" s="10">
        <f>SUM(I14:I18)*46%</f>
        <v>95624.684999999998</v>
      </c>
      <c r="J28" s="10">
        <f>SUM(J14:J18)*46%</f>
        <v>98493.425550000014</v>
      </c>
      <c r="K28" s="10">
        <f>SUM(K14:K18)*46%</f>
        <v>101448.22831650001</v>
      </c>
      <c r="L28" s="10">
        <f>SUM(L14:L18)*46%</f>
        <v>104491.67516599502</v>
      </c>
      <c r="M28" s="10">
        <f>SUM(H28:L28)</f>
        <v>492897.51403249503</v>
      </c>
    </row>
    <row r="29" spans="1:13" s="1" customFormat="1" ht="17.100000000000001" customHeight="1">
      <c r="A29" s="125" t="s">
        <v>136</v>
      </c>
      <c r="B29" s="11"/>
      <c r="C29" s="11"/>
      <c r="D29" s="26"/>
      <c r="E29" s="11"/>
      <c r="F29" s="11"/>
      <c r="G29" s="35"/>
      <c r="H29" s="10">
        <f>SUM(H19:H20)*0.7%</f>
        <v>153.99999999999997</v>
      </c>
      <c r="I29" s="10">
        <f>SUM(I19:I20)*0.7%</f>
        <v>158.61999999999998</v>
      </c>
      <c r="J29" s="10">
        <f>SUM(J19:J20)*0.7%</f>
        <v>163.37859999999998</v>
      </c>
      <c r="K29" s="10">
        <f>SUM(K19:K20)*0.7%</f>
        <v>168.27995799999997</v>
      </c>
      <c r="L29" s="10">
        <f>SUM(L19:L20)*0.7%</f>
        <v>173.32835673999998</v>
      </c>
      <c r="M29" s="10">
        <f t="shared" ref="M29" si="5">SUM(H29:L29)</f>
        <v>817.60691473999987</v>
      </c>
    </row>
    <row r="30" spans="1:13" s="1" customFormat="1" ht="17.100000000000001" customHeight="1">
      <c r="A30" s="126" t="s">
        <v>137</v>
      </c>
      <c r="B30" s="11"/>
      <c r="C30" s="11"/>
      <c r="D30" s="26"/>
      <c r="E30" s="11"/>
      <c r="F30" s="11"/>
      <c r="G30" s="35"/>
      <c r="H30" s="10">
        <f>SUM(H21:H22)*5.6%</f>
        <v>951.99999999999989</v>
      </c>
      <c r="I30" s="10">
        <f>SUM(I21:I22)*5.6%</f>
        <v>980.56</v>
      </c>
      <c r="J30" s="10">
        <f>SUM(J21:J22)*5.6%</f>
        <v>1009.9767999999999</v>
      </c>
      <c r="K30" s="10">
        <f>SUM(K21:K22)*5.6%</f>
        <v>1040.2761039999998</v>
      </c>
      <c r="L30" s="10">
        <f>SUM(L21:L22)*5.6%</f>
        <v>1071.4843871199998</v>
      </c>
      <c r="M30" s="10">
        <f>SUM(H30:L30)</f>
        <v>5054.2972911199995</v>
      </c>
    </row>
    <row r="31" spans="1:13" s="1" customFormat="1" ht="17.100000000000001" customHeight="1">
      <c r="A31" s="127" t="s">
        <v>138</v>
      </c>
      <c r="B31" s="11"/>
      <c r="C31" s="11"/>
      <c r="D31" s="26"/>
      <c r="E31" s="11"/>
      <c r="F31" s="11"/>
      <c r="G31" s="35"/>
      <c r="H31" s="10">
        <f>SUM(H23:H24)*18.6%</f>
        <v>10044.000000000002</v>
      </c>
      <c r="I31" s="10">
        <f>SUM(I23:I24)*18.6%</f>
        <v>10345.320000000002</v>
      </c>
      <c r="J31" s="10">
        <f>SUM(J23:J24)*18.6%</f>
        <v>10655.679600000001</v>
      </c>
      <c r="K31" s="10">
        <f>SUM(K23:K24)*18.6%</f>
        <v>10975.349988000002</v>
      </c>
      <c r="L31" s="10">
        <f>SUM(L23:L24)*18.6%</f>
        <v>11304.610487640002</v>
      </c>
      <c r="M31" s="10">
        <f>SUM(H31:L31)</f>
        <v>53324.960075640003</v>
      </c>
    </row>
    <row r="32" spans="1:13" s="1" customFormat="1" ht="17.100000000000001" customHeight="1">
      <c r="A32" s="69" t="s">
        <v>139</v>
      </c>
      <c r="B32" s="11"/>
      <c r="C32" s="11"/>
      <c r="D32" s="26"/>
      <c r="E32" s="11"/>
      <c r="F32" s="11"/>
      <c r="G32" s="35"/>
      <c r="H32" s="10">
        <f>SUM(H28:H31)</f>
        <v>103989.5</v>
      </c>
      <c r="I32" s="10">
        <f t="shared" ref="I32:L32" si="6">SUM(I28:I31)</f>
        <v>107109.185</v>
      </c>
      <c r="J32" s="10">
        <f t="shared" si="6"/>
        <v>110322.46055000002</v>
      </c>
      <c r="K32" s="10">
        <f t="shared" si="6"/>
        <v>113632.13436650002</v>
      </c>
      <c r="L32" s="10">
        <f t="shared" si="6"/>
        <v>117041.09839749504</v>
      </c>
      <c r="M32" s="10">
        <f>SUM(H32:L32)</f>
        <v>552094.37831399508</v>
      </c>
    </row>
  </sheetData>
  <pageMargins left="0.25" right="0.25" top="0.75" bottom="0.75" header="0.3" footer="0.3"/>
  <pageSetup scale="53" orientation="landscape" r:id="rId1"/>
  <colBreaks count="1" manualBreakCount="1">
    <brk id="13" max="2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0BF24A293A5A438274D9FB9701FDC4" ma:contentTypeVersion="4" ma:contentTypeDescription="Create a new document." ma:contentTypeScope="" ma:versionID="c0ef9067a3953b84eb5c6fcb90d68b37">
  <xsd:schema xmlns:xsd="http://www.w3.org/2001/XMLSchema" xmlns:xs="http://www.w3.org/2001/XMLSchema" xmlns:p="http://schemas.microsoft.com/office/2006/metadata/properties" xmlns:ns3="c779c45b-db6b-4b20-9777-2da6acac8002" targetNamespace="http://schemas.microsoft.com/office/2006/metadata/properties" ma:root="true" ma:fieldsID="b91a5c7a83e301b808365259c5fe88ed" ns3:_="">
    <xsd:import namespace="c779c45b-db6b-4b20-9777-2da6acac8002"/>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79c45b-db6b-4b20-9777-2da6acac80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779c45b-db6b-4b20-9777-2da6acac80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00853F-CF38-4240-BDB0-6BD869BA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79c45b-db6b-4b20-9777-2da6acac8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71708A-5B8C-44DD-B230-2AB29F5E6665}">
  <ds:schemaRefs>
    <ds:schemaRef ds:uri="http://schemas.microsoft.com/office/2006/metadata/properties"/>
    <ds:schemaRef ds:uri="c779c45b-db6b-4b20-9777-2da6acac8002"/>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94AEF90-27C7-4496-8643-FA76867C8E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PrimeGrantee</vt:lpstr>
      <vt:lpstr>CostsByAccountCode</vt:lpstr>
      <vt:lpstr>SubGrantee1</vt:lpstr>
      <vt:lpstr>SubGrantee2</vt:lpstr>
      <vt:lpstr>Supplies</vt:lpstr>
      <vt:lpstr>Consultants</vt:lpstr>
      <vt:lpstr>Travel</vt:lpstr>
      <vt:lpstr>Other Expenses</vt:lpstr>
      <vt:lpstr>FB_Details</vt:lpstr>
      <vt:lpstr>Cost-Sharing</vt:lpstr>
      <vt:lpstr>Sheet1</vt:lpstr>
      <vt:lpstr>'Cost-Sharing'!Print_Area</vt:lpstr>
      <vt:lpstr>FB_Details!Print_Area</vt:lpstr>
      <vt:lpstr>PrimeGrantee!Print_Area</vt:lpstr>
      <vt:lpstr>SubGrantee1!Print_Area</vt:lpstr>
      <vt:lpstr>SubGrantee2!Print_Area</vt:lpstr>
    </vt:vector>
  </TitlesOfParts>
  <Company>LSU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 Lattier</dc:creator>
  <cp:lastModifiedBy>Raymond, Jessica</cp:lastModifiedBy>
  <cp:lastPrinted>2018-05-04T19:44:13Z</cp:lastPrinted>
  <dcterms:created xsi:type="dcterms:W3CDTF">1999-05-17T21:07:19Z</dcterms:created>
  <dcterms:modified xsi:type="dcterms:W3CDTF">2025-06-10T18:45:22Z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0x010100AD0BF24A293A5A438274D9FB9701FDC4</vt:lpwstr>
  </property>
</Properties>
</file>